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autoCompressPictures="0"/>
  <mc:AlternateContent xmlns:mc="http://schemas.openxmlformats.org/markup-compatibility/2006">
    <mc:Choice Requires="x15">
      <x15ac:absPath xmlns:x15ac="http://schemas.microsoft.com/office/spreadsheetml/2010/11/ac" url="C:\Users\nitro\Dropbox\Royal Lepage\Analysers\"/>
    </mc:Choice>
  </mc:AlternateContent>
  <xr:revisionPtr revIDLastSave="0" documentId="8_{CBB99D7B-63BE-4E53-8D21-F2762DEBBB3A}" xr6:coauthVersionLast="47" xr6:coauthVersionMax="47" xr10:uidLastSave="{00000000-0000-0000-0000-000000000000}"/>
  <bookViews>
    <workbookView xWindow="-108" yWindow="-108" windowWidth="23256" windowHeight="12456" tabRatio="832" firstSheet="1" activeTab="7" xr2:uid="{00000000-000D-0000-FFFF-FFFF00000000}"/>
  </bookViews>
  <sheets>
    <sheet name="EN - 1- Referrals" sheetId="9" r:id="rId1"/>
    <sheet name="FR - 1- Références" sheetId="11" r:id="rId2"/>
    <sheet name="EN - 2 - Your Plan of Action" sheetId="16" r:id="rId3"/>
    <sheet name="FR - 2 - Votre plan d'action" sheetId="17" r:id="rId4"/>
    <sheet name="EN-3-Track Record" sheetId="14" r:id="rId5"/>
    <sheet name="FR-3-Historique" sheetId="15" r:id="rId6"/>
    <sheet name="Analyser (En)" sheetId="18" r:id="rId7"/>
    <sheet name="Analyser (FR)" sheetId="19" r:id="rId8"/>
    <sheet name="FR-4b-Chart" sheetId="10" r:id="rId9"/>
    <sheet name="EN-4b-Chart" sheetId="12" r:id="rId10"/>
    <sheet name="EN-5-Net Sheet" sheetId="6" r:id="rId11"/>
    <sheet name="FR-5-Feuille Net" sheetId="7" r:id="rId12"/>
    <sheet name="Data" sheetId="8" r:id="rId13"/>
  </sheets>
  <definedNames>
    <definedName name="_xlnm.Print_Area" localSheetId="6">'Analyser (En)'!$A$1:$F$67</definedName>
    <definedName name="_xlnm.Print_Area" localSheetId="7">'Analyser (FR)'!$A$1:$F$67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B17" i="7" l="1"/>
  <c r="B17" i="6"/>
  <c r="E20" i="19"/>
  <c r="E21" i="19" s="1"/>
  <c r="E22" i="19" s="1"/>
  <c r="D20" i="19"/>
  <c r="D21" i="19" s="1"/>
  <c r="C20" i="19"/>
  <c r="B20" i="19"/>
  <c r="B36" i="19" s="1"/>
  <c r="E13" i="19"/>
  <c r="E34" i="19" s="1"/>
  <c r="D13" i="19"/>
  <c r="D4" i="19" s="1"/>
  <c r="C13" i="19"/>
  <c r="C34" i="19" s="1"/>
  <c r="B13" i="19"/>
  <c r="B59" i="19" s="1"/>
  <c r="B36" i="18"/>
  <c r="E32" i="18"/>
  <c r="E44" i="18" s="1"/>
  <c r="E20" i="18"/>
  <c r="E36" i="18" s="1"/>
  <c r="D20" i="18"/>
  <c r="D36" i="18" s="1"/>
  <c r="C20" i="18"/>
  <c r="C36" i="18" s="1"/>
  <c r="B20" i="18"/>
  <c r="E13" i="18"/>
  <c r="E34" i="18" s="1"/>
  <c r="D13" i="18"/>
  <c r="D32" i="18" s="1"/>
  <c r="C13" i="18"/>
  <c r="C32" i="18" s="1"/>
  <c r="B13" i="18"/>
  <c r="B31" i="18" s="1"/>
  <c r="C21" i="18" l="1"/>
  <c r="C22" i="18" s="1"/>
  <c r="D31" i="19"/>
  <c r="E21" i="18"/>
  <c r="E31" i="19"/>
  <c r="B21" i="18"/>
  <c r="B22" i="18" s="1"/>
  <c r="E4" i="18"/>
  <c r="D4" i="18"/>
  <c r="D34" i="18"/>
  <c r="D44" i="18" s="1"/>
  <c r="H47" i="18"/>
  <c r="H49" i="18" s="1"/>
  <c r="C34" i="18"/>
  <c r="C4" i="18"/>
  <c r="E36" i="19"/>
  <c r="D32" i="19"/>
  <c r="D34" i="19"/>
  <c r="C31" i="19"/>
  <c r="B21" i="19"/>
  <c r="B22" i="19" s="1"/>
  <c r="B32" i="19"/>
  <c r="B32" i="18"/>
  <c r="D22" i="19"/>
  <c r="H47" i="19"/>
  <c r="H49" i="19" s="1"/>
  <c r="C36" i="19"/>
  <c r="D21" i="18"/>
  <c r="D22" i="18" s="1"/>
  <c r="B34" i="18"/>
  <c r="B59" i="18"/>
  <c r="B31" i="19"/>
  <c r="D36" i="19"/>
  <c r="C32" i="19"/>
  <c r="E22" i="18"/>
  <c r="E47" i="18" s="1"/>
  <c r="E48" i="18" s="1"/>
  <c r="C4" i="19"/>
  <c r="C21" i="19"/>
  <c r="C22" i="19" s="1"/>
  <c r="E32" i="19"/>
  <c r="B34" i="19"/>
  <c r="C31" i="18"/>
  <c r="E4" i="19"/>
  <c r="E44" i="19" l="1"/>
  <c r="E47" i="19" s="1"/>
  <c r="E48" i="19" s="1"/>
  <c r="D47" i="18"/>
  <c r="D48" i="18" s="1"/>
  <c r="C44" i="18"/>
  <c r="C47" i="18" s="1"/>
  <c r="C48" i="18" s="1"/>
  <c r="B44" i="18"/>
  <c r="B47" i="18" s="1"/>
  <c r="D44" i="19"/>
  <c r="D47" i="19" s="1"/>
  <c r="D48" i="19" s="1"/>
  <c r="C44" i="19"/>
  <c r="C47" i="19" s="1"/>
  <c r="C48" i="19" s="1"/>
  <c r="B44" i="19"/>
  <c r="B47" i="19" s="1"/>
  <c r="B48" i="18" l="1"/>
  <c r="B49" i="18" s="1"/>
  <c r="B10" i="6" s="1"/>
  <c r="B48" i="19"/>
  <c r="B49" i="19" s="1"/>
  <c r="B10" i="7" s="1"/>
  <c r="I57" i="18" l="1"/>
  <c r="H57" i="18" s="1"/>
  <c r="B4" i="18"/>
  <c r="H48" i="18" s="1"/>
  <c r="B54" i="18" s="1"/>
  <c r="I58" i="18"/>
  <c r="H58" i="18" s="1"/>
  <c r="I58" i="19"/>
  <c r="H58" i="19" s="1"/>
  <c r="B4" i="19"/>
  <c r="H48" i="19" s="1"/>
  <c r="B53" i="19" s="1"/>
  <c r="I57" i="19"/>
  <c r="H57" i="19" s="1"/>
  <c r="B52" i="18" l="1"/>
  <c r="I62" i="18" s="1"/>
  <c r="H62" i="18" s="1"/>
  <c r="B53" i="18"/>
  <c r="B52" i="19"/>
  <c r="I62" i="19" s="1"/>
  <c r="H62" i="19" s="1"/>
  <c r="B54" i="19"/>
  <c r="I64" i="19" s="1"/>
  <c r="B56" i="18"/>
  <c r="I64" i="18"/>
  <c r="I63" i="18" l="1"/>
  <c r="B65" i="18" s="1"/>
  <c r="I63" i="19"/>
  <c r="B51" i="19" s="1"/>
  <c r="B56" i="19"/>
  <c r="B57" i="18" l="1"/>
  <c r="B51" i="18"/>
  <c r="I59" i="18" s="1"/>
  <c r="H59" i="18" s="1"/>
  <c r="B66" i="18"/>
  <c r="B67" i="18" s="1"/>
  <c r="B65" i="19"/>
  <c r="B66" i="19"/>
  <c r="B67" i="19" s="1"/>
  <c r="B57" i="19"/>
  <c r="I59" i="19"/>
  <c r="H59" i="19" s="1"/>
  <c r="I61" i="19"/>
  <c r="H61" i="19" s="1"/>
  <c r="I60" i="19"/>
  <c r="H60" i="19" s="1"/>
  <c r="B50" i="19"/>
  <c r="B50" i="18" l="1"/>
  <c r="I61" i="18"/>
  <c r="H61" i="18" s="1"/>
  <c r="I60" i="18"/>
  <c r="H60" i="18" s="1"/>
  <c r="B58" i="19"/>
  <c r="B63" i="19" s="1"/>
  <c r="B64" i="19" s="1"/>
  <c r="D6" i="8"/>
  <c r="B6" i="8"/>
  <c r="B58" i="18" l="1"/>
  <c r="B63" i="18" s="1"/>
  <c r="B64" i="18" s="1"/>
  <c r="B15" i="7"/>
  <c r="B15" i="6" l="1"/>
  <c r="B16" i="6" s="1"/>
  <c r="B16" i="7"/>
  <c r="B21" i="7" s="1"/>
  <c r="B21" i="6" l="1"/>
</calcChain>
</file>

<file path=xl/sharedStrings.xml><?xml version="1.0" encoding="utf-8"?>
<sst xmlns="http://schemas.openxmlformats.org/spreadsheetml/2006/main" count="294" uniqueCount="259">
  <si>
    <t>Based on the comparables sold as well as the size and asset adjustments of each property, your home is worth the following depending on the market:</t>
  </si>
  <si>
    <t>Suggested asking price</t>
  </si>
  <si>
    <t>Discharge of mortgage</t>
  </si>
  <si>
    <t>Amount of the Mortgage</t>
  </si>
  <si>
    <t>Penalty for early repayment</t>
  </si>
  <si>
    <t>Percentage compensation</t>
  </si>
  <si>
    <t>Amount of compensation</t>
  </si>
  <si>
    <t>GST amount 5%</t>
  </si>
  <si>
    <t>QST amount 9.975%</t>
  </si>
  <si>
    <t>Amount for certificate of location</t>
  </si>
  <si>
    <t>Net residual value</t>
  </si>
  <si>
    <t>Sur la base des comparables vendus ainsi que de la taille et des ajustements d'actifs de chaque propriété, votre maison vaut ce qui suit en fonction du marché :</t>
  </si>
  <si>
    <t>Nouveaux sur le marché depuis 30 jours</t>
  </si>
  <si>
    <t>Vendus depuis 30 jours</t>
  </si>
  <si>
    <t>Nombres de maisons disponibles par acheteur</t>
  </si>
  <si>
    <t>Name</t>
  </si>
  <si>
    <t>Phone Number</t>
  </si>
  <si>
    <t>Client 1</t>
  </si>
  <si>
    <t>List of Referrals</t>
  </si>
  <si>
    <t>Liste des références</t>
  </si>
  <si>
    <t>Nom</t>
  </si>
  <si>
    <t>Numéro de téléphone</t>
  </si>
  <si>
    <t>Client 2</t>
  </si>
  <si>
    <t>Client 3</t>
  </si>
  <si>
    <t>Client 4</t>
  </si>
  <si>
    <t>1 (514) 123-4567</t>
  </si>
  <si>
    <t>English</t>
  </si>
  <si>
    <t>Éxpirés depuis 30 jours</t>
  </si>
  <si>
    <t>New on the market for 30 days</t>
  </si>
  <si>
    <t>Expired 30 days ago</t>
  </si>
  <si>
    <t>Sold for 30 days</t>
  </si>
  <si>
    <t>Number of houses available per buyer</t>
  </si>
  <si>
    <t>Propriétés en vente</t>
  </si>
  <si>
    <t>Properties for sale</t>
  </si>
  <si>
    <t>Address</t>
  </si>
  <si>
    <t>Price</t>
  </si>
  <si>
    <t>123 Rue Banane, Chomedey</t>
  </si>
  <si>
    <t>Sales Track Record</t>
  </si>
  <si>
    <t>Historique de vente</t>
  </si>
  <si>
    <t>Adresse</t>
  </si>
  <si>
    <t>Prix</t>
  </si>
  <si>
    <t>LES 18 POINTS DU PLAN D'ACTION DE LA MISE EN MARCHÉ</t>
  </si>
  <si>
    <t>Nos objectifs sont les suivants:</t>
  </si>
  <si>
    <r>
      <t>1.</t>
    </r>
    <r>
      <rPr>
        <sz val="7"/>
        <color theme="1"/>
        <rFont val="Times New Roman"/>
        <family val="1"/>
      </rPr>
      <t xml:space="preserve">     </t>
    </r>
    <r>
      <rPr>
        <sz val="11"/>
        <color theme="1"/>
        <rFont val="Arial"/>
        <family val="2"/>
      </rPr>
      <t>Vous aidez à obtenir autant d'acheteurs qualifiés que possible dans votre propriété jusqu'à ce qu'elle soit vendue.</t>
    </r>
  </si>
  <si>
    <r>
      <t>2.</t>
    </r>
    <r>
      <rPr>
        <sz val="7"/>
        <color theme="1"/>
        <rFont val="Times New Roman"/>
        <family val="1"/>
      </rPr>
      <t xml:space="preserve">     </t>
    </r>
    <r>
      <rPr>
        <sz val="11"/>
        <color theme="1"/>
        <rFont val="Arial"/>
        <family val="2"/>
      </rPr>
      <t>Vous communiquer régulièrement le résultat de nos activités.</t>
    </r>
  </si>
  <si>
    <r>
      <t>3.</t>
    </r>
    <r>
      <rPr>
        <sz val="7"/>
        <color theme="1"/>
        <rFont val="Times New Roman"/>
        <family val="1"/>
      </rPr>
      <t xml:space="preserve">     </t>
    </r>
    <r>
      <rPr>
        <sz val="11"/>
        <color theme="1"/>
        <rFont val="Arial"/>
        <family val="2"/>
      </rPr>
      <t>Vous aidez à négocier la plus haute valeur-prix... entre vous et un acheteur.</t>
    </r>
  </si>
  <si>
    <t>Les étapes que nous utilisons pour vendre les propriétés.... ''L'Approche Proactive''.</t>
  </si>
  <si>
    <r>
      <t>1.</t>
    </r>
    <r>
      <rPr>
        <sz val="7"/>
        <color theme="1"/>
        <rFont val="Times New Roman"/>
        <family val="1"/>
      </rPr>
      <t xml:space="preserve">     </t>
    </r>
    <r>
      <rPr>
        <sz val="11"/>
        <color theme="1"/>
        <rFont val="Arial"/>
        <family val="2"/>
      </rPr>
      <t>Présenter la propriété à son meilleur en prenant des photos par un photographe professionnel.</t>
    </r>
  </si>
  <si>
    <r>
      <t>2.</t>
    </r>
    <r>
      <rPr>
        <sz val="7"/>
        <color theme="1"/>
        <rFont val="Times New Roman"/>
        <family val="1"/>
      </rPr>
      <t xml:space="preserve">     </t>
    </r>
    <r>
      <rPr>
        <sz val="11"/>
        <color theme="1"/>
        <rFont val="Arial"/>
        <family val="2"/>
      </rPr>
      <t>Suggérer et conseiller certains changements à apporter à la propriété pour que celle-ci soit plus vendable.</t>
    </r>
  </si>
  <si>
    <r>
      <t>3.</t>
    </r>
    <r>
      <rPr>
        <sz val="7"/>
        <color theme="1"/>
        <rFont val="Times New Roman"/>
        <family val="1"/>
      </rPr>
      <t xml:space="preserve">     </t>
    </r>
    <r>
      <rPr>
        <sz val="11"/>
        <color theme="1"/>
        <rFont val="Arial"/>
        <family val="2"/>
      </rPr>
      <t>Afficher votre propriété à un prix compétitif... pour ouvrir le marché au lieu de le rétrécir.</t>
    </r>
  </si>
  <si>
    <r>
      <t>4.</t>
    </r>
    <r>
      <rPr>
        <sz val="7"/>
        <color theme="1"/>
        <rFont val="Times New Roman"/>
        <family val="1"/>
      </rPr>
      <t xml:space="preserve">     </t>
    </r>
    <r>
      <rPr>
        <sz val="11"/>
        <color theme="1"/>
        <rFont val="Arial"/>
        <family val="2"/>
      </rPr>
      <t>Soumettre votre propriété au premier site web vu par les acheteurs (SIA/MLS).</t>
    </r>
  </si>
  <si>
    <r>
      <t>5.</t>
    </r>
    <r>
      <rPr>
        <sz val="7"/>
        <color theme="1"/>
        <rFont val="Times New Roman"/>
        <family val="1"/>
      </rPr>
      <t xml:space="preserve">     </t>
    </r>
    <r>
      <rPr>
        <sz val="11"/>
        <color theme="1"/>
        <rFont val="Arial"/>
        <family val="2"/>
      </rPr>
      <t>Promouvoir votre propriété aux rencontres de vente de notre bureau...</t>
    </r>
  </si>
  <si>
    <r>
      <t>6.</t>
    </r>
    <r>
      <rPr>
        <sz val="7"/>
        <color theme="1"/>
        <rFont val="Times New Roman"/>
        <family val="1"/>
      </rPr>
      <t xml:space="preserve">     </t>
    </r>
    <r>
      <rPr>
        <sz val="11"/>
        <color theme="1"/>
        <rFont val="Arial"/>
        <family val="2"/>
      </rPr>
      <t>Développer une liste de caractéristiques de votre propriété pour que les courtiers immobiliers puissent utiliser avec leurs acheteurs.</t>
    </r>
  </si>
  <si>
    <r>
      <t>7.</t>
    </r>
    <r>
      <rPr>
        <sz val="7"/>
        <color theme="1"/>
        <rFont val="Times New Roman"/>
        <family val="1"/>
      </rPr>
      <t xml:space="preserve">     </t>
    </r>
    <r>
      <rPr>
        <sz val="11"/>
        <color theme="1"/>
        <rFont val="Arial"/>
        <family val="2"/>
      </rPr>
      <t>Envoyer, par courriel, une liste des caractéristiques aux meilleurs courtiers dans le marché pour leurs acheteurs potentiels, en leur mentionnant du pourcentage de commissions qu'ils obtiendront s'ils nous amènent une promesse d'achat.</t>
    </r>
  </si>
  <si>
    <r>
      <t>8.</t>
    </r>
    <r>
      <rPr>
        <sz val="7"/>
        <color theme="1"/>
        <rFont val="Times New Roman"/>
        <family val="1"/>
      </rPr>
      <t xml:space="preserve">     </t>
    </r>
    <r>
      <rPr>
        <sz val="11"/>
        <color theme="1"/>
        <rFont val="Arial"/>
        <family val="2"/>
      </rPr>
      <t>Constamment vous informer de tous changements dans le marché.</t>
    </r>
  </si>
  <si>
    <r>
      <t>9.</t>
    </r>
    <r>
      <rPr>
        <sz val="7"/>
        <color theme="1"/>
        <rFont val="Times New Roman"/>
        <family val="1"/>
      </rPr>
      <t xml:space="preserve">     </t>
    </r>
    <r>
      <rPr>
        <sz val="11"/>
        <color theme="1"/>
        <rFont val="Arial"/>
        <family val="2"/>
      </rPr>
      <t>Prospect 3 heures par jour afin de communiquer avec une centaine d’acheteurs potentiels dans votre quartier.</t>
    </r>
  </si>
  <si>
    <r>
      <t>10.</t>
    </r>
    <r>
      <rPr>
        <sz val="7"/>
        <color theme="1"/>
        <rFont val="Times New Roman"/>
        <family val="1"/>
      </rPr>
      <t xml:space="preserve">  </t>
    </r>
    <r>
      <rPr>
        <sz val="11"/>
        <color theme="1"/>
        <rFont val="Arial"/>
        <family val="2"/>
      </rPr>
      <t>Contactez, nos acheteurs potentiels, centre d'influence, et nos anciens clients pour avoir leurs références et leurs acheteurs potentiels.</t>
    </r>
  </si>
  <si>
    <r>
      <t>11.</t>
    </r>
    <r>
      <rPr>
        <sz val="7"/>
        <color theme="1"/>
        <rFont val="Times New Roman"/>
        <family val="1"/>
      </rPr>
      <t xml:space="preserve">  </t>
    </r>
    <r>
      <rPr>
        <sz val="11"/>
        <color theme="1"/>
        <rFont val="Arial"/>
        <family val="2"/>
      </rPr>
      <t>Ajouter de la visibilité à travers d'une pancarte professionnelle et d'une boîte à clef.</t>
    </r>
  </si>
  <si>
    <r>
      <t>12.</t>
    </r>
    <r>
      <rPr>
        <sz val="7"/>
        <color theme="1"/>
        <rFont val="Times New Roman"/>
        <family val="1"/>
      </rPr>
      <t xml:space="preserve">  </t>
    </r>
    <r>
      <rPr>
        <sz val="11"/>
        <color theme="1"/>
        <rFont val="Arial"/>
        <family val="2"/>
      </rPr>
      <t>Ajouter de la visibilité à travers plusieurs sites web utilisés par l'Équipe (Au-dessus de 40 sites web).</t>
    </r>
  </si>
  <si>
    <r>
      <t>13.</t>
    </r>
    <r>
      <rPr>
        <sz val="7"/>
        <color theme="1"/>
        <rFont val="Times New Roman"/>
        <family val="1"/>
      </rPr>
      <t xml:space="preserve">  </t>
    </r>
    <r>
      <rPr>
        <sz val="11"/>
        <color theme="1"/>
        <rFont val="Arial"/>
        <family val="2"/>
      </rPr>
      <t>Lorsque que c'est possible, pré-qualifier les acheteurs potentiels.</t>
    </r>
  </si>
  <si>
    <r>
      <t>14.</t>
    </r>
    <r>
      <rPr>
        <sz val="7"/>
        <color theme="1"/>
        <rFont val="Times New Roman"/>
        <family val="1"/>
      </rPr>
      <t xml:space="preserve">  </t>
    </r>
    <r>
      <rPr>
        <sz val="11"/>
        <color theme="1"/>
        <rFont val="Arial"/>
        <family val="2"/>
      </rPr>
      <t>Faire des suivis avec les courtiers qui ont fait visiter votre propriété pour avoir leur compte-rendu de et vous le communiquer.</t>
    </r>
  </si>
  <si>
    <r>
      <t>15.</t>
    </r>
    <r>
      <rPr>
        <sz val="7"/>
        <color theme="1"/>
        <rFont val="Times New Roman"/>
        <family val="1"/>
      </rPr>
      <t xml:space="preserve">  </t>
    </r>
    <r>
      <rPr>
        <sz val="11"/>
        <color theme="1"/>
        <rFont val="Arial"/>
        <family val="2"/>
      </rPr>
      <t>Suivant les comptes rendus reçus, nous vous laisserons savoir s'il y a des ajustements à faire pour obtenir une offre d'achat d'un acheteur.</t>
    </r>
  </si>
  <si>
    <r>
      <t>16.</t>
    </r>
    <r>
      <rPr>
        <sz val="7"/>
        <color theme="1"/>
        <rFont val="Times New Roman"/>
        <family val="1"/>
      </rPr>
      <t xml:space="preserve">  </t>
    </r>
    <r>
      <rPr>
        <sz val="11"/>
        <color theme="1"/>
        <rFont val="Arial"/>
        <family val="2"/>
      </rPr>
      <t>Vous présentez sur toutes offres présentées. Vous assister en négociant le meilleur prix et conditions possibles.</t>
    </r>
  </si>
  <si>
    <r>
      <t>17.</t>
    </r>
    <r>
      <rPr>
        <sz val="7"/>
        <color theme="1"/>
        <rFont val="Times New Roman"/>
        <family val="1"/>
      </rPr>
      <t xml:space="preserve">  </t>
    </r>
    <r>
      <rPr>
        <sz val="11"/>
        <color theme="1"/>
        <rFont val="Arial"/>
        <family val="2"/>
      </rPr>
      <t>Traiter toutes les étapes suivant l'acceptation de contrat... le financement, les titres, l'inspection et autres procédures de clôture de transaction.</t>
    </r>
  </si>
  <si>
    <r>
      <t>18.</t>
    </r>
    <r>
      <rPr>
        <sz val="7"/>
        <color theme="1"/>
        <rFont val="Times New Roman"/>
        <family val="1"/>
      </rPr>
      <t xml:space="preserve">  </t>
    </r>
    <r>
      <rPr>
        <sz val="11"/>
        <color theme="1"/>
        <rFont val="Arial"/>
        <family val="2"/>
      </rPr>
      <t>Nous assurer de la livraison de votre chèque ainsi que des documents à la clôture de la vente.</t>
    </r>
  </si>
  <si>
    <t>18 Points d'action</t>
  </si>
  <si>
    <t>My objectives are the Following:</t>
  </si>
  <si>
    <t xml:space="preserve">1.     To assist in getting as many qualified buyers as possible into your home until it is sold. </t>
  </si>
  <si>
    <t xml:space="preserve">2.     To communicate to you, weekly or every two weeks, the results of our activities. </t>
  </si>
  <si>
    <t xml:space="preserve">3.     To assist you in negotiating the highest dollar value … between you and the buyer. </t>
  </si>
  <si>
    <t xml:space="preserve">The Following are Steps I Take to Get a Home Sold … the “Proactive Approach:” </t>
  </si>
  <si>
    <t xml:space="preserve">10.     Contact, over the next seven days … my buyer leads, Center of Influence, and Past Clients for their referrals and prospective buyers. </t>
  </si>
  <si>
    <t xml:space="preserve">11.     Add additional exposure through a professional sign and lock-box. </t>
  </si>
  <si>
    <t xml:space="preserve">12.     Add additional exposure through many websites used by my team (Over 40 Websites). </t>
  </si>
  <si>
    <t xml:space="preserve">13.     Whenever possible, pre-qualify the prospective buyers. </t>
  </si>
  <si>
    <t xml:space="preserve">14.     Follow-up on the salespeople who have shown your home … for their feedback and response. </t>
  </si>
  <si>
    <t xml:space="preserve">15.     Following the feedback, let you know if we have to readjust something so we could get an offer by the buyers. </t>
  </si>
  <si>
    <t xml:space="preserve">16.     Represent you on all offer presentations … to assist you in negotiating the best possible price and terms. </t>
  </si>
  <si>
    <t xml:space="preserve">17.     Handle all the follow-up upon a contract being accepted … all mortgage, title, and other closing procedures. </t>
  </si>
  <si>
    <t>18.     Deliver your check at closing.</t>
  </si>
  <si>
    <t xml:space="preserve">1.     Present the property at its best by taking pictures with a professional photographer. </t>
  </si>
  <si>
    <t xml:space="preserve">2.     Suggest and advise as to any changes you may want to make in your property to make it more saleable. </t>
  </si>
  <si>
    <t xml:space="preserve">3.     Price your home competitively … to open the market vs. narrowing the market. </t>
  </si>
  <si>
    <t xml:space="preserve">4.     Submit your property on the number 1 website viewed by buyers (MLS). </t>
  </si>
  <si>
    <t xml:space="preserve">5.     Promote your home at our company sales meeting. (We have 50 brokers) </t>
  </si>
  <si>
    <t xml:space="preserve">6.     Develop a list of features of your home for the Brokers to use with their potential buyers. </t>
  </si>
  <si>
    <t xml:space="preserve">7.     Email a features sheet to the top 50 agents in the marketplace for their potential buyers and let them know their percentage of commission they are getting by bringing us a buyer. </t>
  </si>
  <si>
    <t xml:space="preserve">8.     Constantly update you as to any changes in the marketplace. </t>
  </si>
  <si>
    <t xml:space="preserve">9.     Prospect 3 hours per day in order to contact a hundred potential buyers in your neighborhood. </t>
  </si>
  <si>
    <t>18 Points of action</t>
  </si>
  <si>
    <t>Français</t>
  </si>
  <si>
    <t>Prix ​​demandé suggéré</t>
  </si>
  <si>
    <t>Quittance d'hypothèque</t>
  </si>
  <si>
    <t>Montant de l'hypothèque</t>
  </si>
  <si>
    <t>Pénalité pour remboursement anticipé</t>
  </si>
  <si>
    <t>Rémunération en pourcentage</t>
  </si>
  <si>
    <t>Montant de l'indemnité</t>
  </si>
  <si>
    <t>Montant de la TPS 5%</t>
  </si>
  <si>
    <t>Montant de la TVQ 9,975 %</t>
  </si>
  <si>
    <t>Montant pour certificat de localisation</t>
  </si>
  <si>
    <t>Valeur résiduelle nette</t>
  </si>
  <si>
    <t xml:space="preserve">Property  Profile Assessement </t>
  </si>
  <si>
    <t>Price per door</t>
  </si>
  <si>
    <t>Current</t>
  </si>
  <si>
    <t>Comp #1</t>
  </si>
  <si>
    <t>Comp #2</t>
  </si>
  <si>
    <t>Comp #3</t>
  </si>
  <si>
    <t>Studio - (1.5)</t>
  </si>
  <si>
    <t>Studio - (2.5)</t>
  </si>
  <si>
    <t>1 bedroom - (3.5)</t>
  </si>
  <si>
    <t>2 bedrooms - (4.5)</t>
  </si>
  <si>
    <t>3 bedrooms - (5.5)</t>
  </si>
  <si>
    <t>3 bedrooms - (6.5)</t>
  </si>
  <si>
    <t>Commercial</t>
  </si>
  <si>
    <t>Total Units</t>
  </si>
  <si>
    <t>Revenue</t>
  </si>
  <si>
    <t>Rental Income</t>
  </si>
  <si>
    <t>Commercial Income</t>
  </si>
  <si>
    <t>Parking</t>
  </si>
  <si>
    <t>Other</t>
  </si>
  <si>
    <t xml:space="preserve">Subtotal </t>
  </si>
  <si>
    <t>Vacancy/Bad Debt</t>
  </si>
  <si>
    <t>Total Income</t>
  </si>
  <si>
    <t>Operational Expenses (OPEX)</t>
  </si>
  <si>
    <t>Municipal Taxes</t>
  </si>
  <si>
    <t>School Taxes</t>
  </si>
  <si>
    <t>Energy - Electricity</t>
  </si>
  <si>
    <t xml:space="preserve">Energy - Heating Oil                       </t>
  </si>
  <si>
    <t>Energy - Gas</t>
  </si>
  <si>
    <t>Elevator(s)</t>
  </si>
  <si>
    <t>Insurance</t>
  </si>
  <si>
    <t>Superintendant</t>
  </si>
  <si>
    <t>Snow Removal</t>
  </si>
  <si>
    <t>Maintenance</t>
  </si>
  <si>
    <t>Equipment (Rental)</t>
  </si>
  <si>
    <t>Management/Administration</t>
  </si>
  <si>
    <t>Extermination</t>
  </si>
  <si>
    <t>Garbage</t>
  </si>
  <si>
    <t>Lawn</t>
  </si>
  <si>
    <t>Reserve (Stove and Fridge)</t>
  </si>
  <si>
    <t>Coin o matic</t>
  </si>
  <si>
    <t>Alarm System</t>
  </si>
  <si>
    <t>Videotron/ Bell</t>
  </si>
  <si>
    <t>Total Expenses</t>
  </si>
  <si>
    <t>Valuation, CAP Rate, Mortgage and Investement</t>
  </si>
  <si>
    <t>Legend</t>
  </si>
  <si>
    <t>NOI (Net Operating Income)</t>
  </si>
  <si>
    <t>DCR (Normal)</t>
  </si>
  <si>
    <t>Current CAP Rate</t>
  </si>
  <si>
    <t>DCR (MLS Select)</t>
  </si>
  <si>
    <t>DCR (Approved)</t>
  </si>
  <si>
    <t>CAP Rate</t>
  </si>
  <si>
    <t>CMHC Value</t>
  </si>
  <si>
    <t>CMHC Premium</t>
  </si>
  <si>
    <t>Coverage Ratio</t>
  </si>
  <si>
    <t>Up to and including 75%</t>
  </si>
  <si>
    <t>Amortization (Year)</t>
  </si>
  <si>
    <t>Up to and including 80%</t>
  </si>
  <si>
    <t>Minimum Downpayment Required %</t>
  </si>
  <si>
    <t>Up to and including 85%</t>
  </si>
  <si>
    <t>5 Years Interest Rate</t>
  </si>
  <si>
    <t>Up to and including 95%</t>
  </si>
  <si>
    <t>Net Equity (Downpayment)</t>
  </si>
  <si>
    <t>Calculation Mutation Tax (0.5%)</t>
  </si>
  <si>
    <t>Mutation Tax</t>
  </si>
  <si>
    <t>Calculation Mutation Tax (1.0%)</t>
  </si>
  <si>
    <t>CMHC Per door fee</t>
  </si>
  <si>
    <t>Calculation Mutation Tax (1.5%)</t>
  </si>
  <si>
    <t>Evaluation Fee</t>
  </si>
  <si>
    <t>Calculation Mutation Tax (2.0%)</t>
  </si>
  <si>
    <t>Inspection Fee</t>
  </si>
  <si>
    <t>Calculation Mutation Tax (2.5%)</t>
  </si>
  <si>
    <t>Legal and Transaction Fees</t>
  </si>
  <si>
    <t>Maximum Mortgage allowed by CMHC</t>
  </si>
  <si>
    <t>Total Investement</t>
  </si>
  <si>
    <t>Maximum Mortgage by CMHC (Based on economic value)</t>
  </si>
  <si>
    <t>REAL Downpayment %</t>
  </si>
  <si>
    <t>Maximum Mortgage by CMHC (Based on Price)</t>
  </si>
  <si>
    <t>Mortgage WITHOUT CMHC Premium</t>
  </si>
  <si>
    <t>Total Mortgage with CMHC Premium</t>
  </si>
  <si>
    <t>Expected Mortage</t>
  </si>
  <si>
    <t>Évaluation du profil de la propriété</t>
  </si>
  <si>
    <t>Prix par porte</t>
  </si>
  <si>
    <t>1 chambre - (3.5)</t>
  </si>
  <si>
    <t>2 chambres - (4.5)</t>
  </si>
  <si>
    <t>3 chambres - (5.5)</t>
  </si>
  <si>
    <t>3 chambres - (6.5)</t>
  </si>
  <si>
    <t>Unités totales</t>
  </si>
  <si>
    <t>Revenu</t>
  </si>
  <si>
    <t>Revenus locatifs</t>
  </si>
  <si>
    <t>Revenu commercial</t>
  </si>
  <si>
    <t>Autre</t>
  </si>
  <si>
    <t>Total</t>
  </si>
  <si>
    <t>Vacance/Mauvaise créance</t>
  </si>
  <si>
    <t>Revenu total</t>
  </si>
  <si>
    <t>Dépenses opérationnelles (OPEX)</t>
  </si>
  <si>
    <t>Taxes municipales</t>
  </si>
  <si>
    <t>Taxes scolaires</t>
  </si>
  <si>
    <t>Énergie - Électricité</t>
  </si>
  <si>
    <t>Énergie - Mazout</t>
  </si>
  <si>
    <t>Energie - Gaz</t>
  </si>
  <si>
    <t>Ascenseur(s)</t>
  </si>
  <si>
    <t>Assurance</t>
  </si>
  <si>
    <t>Surintendant</t>
  </si>
  <si>
    <t>Déneigement</t>
  </si>
  <si>
    <t>Entretien</t>
  </si>
  <si>
    <t>Location d'équipement</t>
  </si>
  <si>
    <t>Administration de la gestion</t>
  </si>
  <si>
    <t>Des ordures</t>
  </si>
  <si>
    <t>Pelouse</t>
  </si>
  <si>
    <t>Réserve (cuisinière et réfrigérateur)</t>
  </si>
  <si>
    <t>Système d'alarme</t>
  </si>
  <si>
    <t>Vidéotron/Bell</t>
  </si>
  <si>
    <t>Dépenses totales</t>
  </si>
  <si>
    <t>Valorisation, Taux CAP, Hypothèque et Investissement</t>
  </si>
  <si>
    <t>NOI (résultat d'exploitation net)</t>
  </si>
  <si>
    <t>RCD (Normal)</t>
  </si>
  <si>
    <t>Taux de capitalisation</t>
  </si>
  <si>
    <t>DCR (sélection MLS)</t>
  </si>
  <si>
    <t>DCR (Approuvé)</t>
  </si>
  <si>
    <t>Valeur SCHL</t>
  </si>
  <si>
    <t>Prime SCHL</t>
  </si>
  <si>
    <t>Le ratio de couverture</t>
  </si>
  <si>
    <t>Jusqu'à 75 % inclus</t>
  </si>
  <si>
    <t>Amortissement (Année)</t>
  </si>
  <si>
    <t>Jusqu'à 80 % inclus</t>
  </si>
  <si>
    <t>Acompte minimum requis %</t>
  </si>
  <si>
    <t>Jusqu'à 85 % inclus</t>
  </si>
  <si>
    <t>Taux d'intérêt sur 5 ans</t>
  </si>
  <si>
    <t>Jusqu'à 95 % inclus</t>
  </si>
  <si>
    <t>Avoir net (acompte)</t>
  </si>
  <si>
    <t>Calcul de la taxe de mutation (0,5 %)</t>
  </si>
  <si>
    <t>Taxe de mutation</t>
  </si>
  <si>
    <t>Calcul de la taxe de mutation (1,0 %)</t>
  </si>
  <si>
    <t>SCHL Frais de porte</t>
  </si>
  <si>
    <t>Calcul de la taxe de mutation (1,5 %)</t>
  </si>
  <si>
    <t>Frais d'évaluation</t>
  </si>
  <si>
    <t>Calcul de la taxe de mutation (2,0 %)</t>
  </si>
  <si>
    <t>Frais d'inspection</t>
  </si>
  <si>
    <t>Calcul de la taxe de mutation (2,5 %)</t>
  </si>
  <si>
    <t>Frais juridiques et de transaction</t>
  </si>
  <si>
    <t>Hypothèque maximale autorisée par la SCHL</t>
  </si>
  <si>
    <t>Investissement total</t>
  </si>
  <si>
    <t>Hypothèque maximale par la SCHL (selon la valeur économique)</t>
  </si>
  <si>
    <t>VRAI % d'acompte</t>
  </si>
  <si>
    <t>Prêt hypothécaire maximal par la SCHL (basé sur le prix)</t>
  </si>
  <si>
    <t>Hypothèque SANS Prime SCHL</t>
  </si>
  <si>
    <t>Prêt hypothécaire total avec prime SCHL</t>
  </si>
  <si>
    <t>Hypothèque prévue</t>
  </si>
  <si>
    <t>14849 - 14857 Rue Aumais</t>
  </si>
  <si>
    <t>4452 Rue Elgin</t>
  </si>
  <si>
    <t>12274-12280 Rue Grenet</t>
  </si>
  <si>
    <t>680 13e Avenue</t>
  </si>
  <si>
    <t>1680 Boul. Desmarchais</t>
  </si>
  <si>
    <t>6269-6277 Rue Dumas</t>
  </si>
  <si>
    <t>5961-5969 Rue Hamilton</t>
  </si>
  <si>
    <t>363-371 Rue St-Philippe</t>
  </si>
  <si>
    <t>Sold Price</t>
  </si>
  <si>
    <t>Prix de vente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</si>
</sst>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_(* #,##0.00_);_(* \(#,##0.00\);_(* &quot;-&quot;??_);_(@_)"/>
    <numFmt numFmtId="165" formatCode="_-* #,##0_-;\-* #,##0_-;_-* &quot;-&quot;??_-;_-@_-"/>
    <numFmt numFmtId="166" formatCode="_-&quot;$&quot;* #,##0_-;\-&quot;$&quot;* #,##0_-;_-&quot;$&quot;* &quot;-&quot;??_-;_-@_-"/>
    <numFmt numFmtId="167" formatCode="_(* #,##0_);_(* \(#,##0\);_(* &quot;-&quot;??_);_(@_)"/>
    <numFmt numFmtId="168" formatCode="&quot;$&quot;#,##0.00"/>
    <numFmt numFmtId="169" formatCode="&quot;$&quot;#,##0;[Red]\(&quot;$&quot;#,##0\)"/>
    <numFmt numFmtId="170" formatCode="&quot;$&quot;#,##0"/>
  </numFmts>
  <fonts count="2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b/>
      <sz val="12"/>
      <color theme="1"/>
      <name val="Calibri"/>
      <family val="2"/>
      <scheme val="minor"/>
    </font>
    <font>
      <sz val="16"/>
      <color theme="1"/>
      <name val="Calibri"/>
      <family val="2"/>
      <scheme val="minor"/>
    </font>
    <font>
      <sz val="8"/>
      <name val="Calibri"/>
      <family val="2"/>
      <scheme val="minor"/>
    </font>
    <font>
      <b/>
      <sz val="12"/>
      <color theme="0"/>
      <name val="Calibri"/>
      <family val="2"/>
      <scheme val="minor"/>
    </font>
    <font>
      <sz val="18"/>
      <color theme="0"/>
      <name val="Calibri"/>
      <family val="2"/>
      <scheme val="minor"/>
    </font>
    <font>
      <u/>
      <sz val="14"/>
      <color rgb="FFFFFFFF"/>
      <name val="Arial"/>
      <family val="2"/>
    </font>
    <font>
      <b/>
      <u/>
      <sz val="11"/>
      <color theme="1"/>
      <name val="Arial"/>
      <family val="2"/>
    </font>
    <font>
      <b/>
      <sz val="11"/>
      <color theme="1"/>
      <name val="Arial"/>
      <family val="2"/>
    </font>
    <font>
      <sz val="11"/>
      <color theme="1"/>
      <name val="Arial"/>
      <family val="2"/>
    </font>
    <font>
      <sz val="7"/>
      <color theme="1"/>
      <name val="Times New Roman"/>
      <family val="1"/>
    </font>
    <font>
      <b/>
      <sz val="11"/>
      <color theme="1"/>
      <name val="Calibri"/>
      <family val="2"/>
      <scheme val="minor"/>
    </font>
    <font>
      <b/>
      <sz val="11"/>
      <color indexed="8"/>
      <name val="Calibri"/>
      <family val="2"/>
      <scheme val="minor"/>
    </font>
    <font>
      <sz val="10"/>
      <color theme="1"/>
      <name val="Arial"/>
      <family val="2"/>
    </font>
    <font>
      <b/>
      <sz val="10"/>
      <color theme="0"/>
      <name val="Arial"/>
      <family val="2"/>
    </font>
    <font>
      <b/>
      <sz val="10"/>
      <color theme="1"/>
      <name val="Arial"/>
      <family val="2"/>
    </font>
    <font>
      <sz val="10"/>
      <color theme="0"/>
      <name val="Arial"/>
      <family val="2"/>
    </font>
    <font>
      <sz val="10"/>
      <name val="Arial"/>
      <family val="2"/>
    </font>
    <font>
      <sz val="12"/>
      <color theme="1"/>
      <name val="Arial"/>
      <family val="2"/>
    </font>
    <font>
      <b/>
      <sz val="12"/>
      <color theme="0"/>
      <name val="Arial"/>
      <family val="2"/>
    </font>
    <font>
      <b/>
      <sz val="11"/>
      <color theme="0"/>
      <name val="Arial"/>
      <family val="2"/>
    </font>
    <font>
      <b/>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1"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1"/>
        <bgColor indexed="64"/>
      </patternFill>
    </fill>
    <fill>
      <patternFill patternType="solid">
        <fgColor rgb="FF00B0F0"/>
        <bgColor indexed="64"/>
      </patternFill>
    </fill>
  </fills>
  <borders count="47">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s>
  <cellStyleXfs count="1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3" fillId="0" borderId="0" xfId="5"/>
    <xf numFmtId="0" fontId="6" fillId="0" borderId="0" xfId="5" applyFont="1"/>
    <xf numFmtId="0" fontId="6" fillId="0" borderId="0" xfId="5" applyFont="1" applyAlignment="1">
      <alignment vertical="top"/>
    </xf>
    <xf numFmtId="0" fontId="6" fillId="0" borderId="4" xfId="5" applyFont="1" applyBorder="1" applyAlignment="1">
      <alignment wrapText="1"/>
    </xf>
    <xf numFmtId="0" fontId="7" fillId="0" borderId="5" xfId="5" applyFont="1" applyBorder="1"/>
    <xf numFmtId="0" fontId="6" fillId="0" borderId="7" xfId="5" applyFont="1" applyBorder="1"/>
    <xf numFmtId="167" fontId="6" fillId="0" borderId="9" xfId="6" applyNumberFormat="1" applyFont="1" applyBorder="1"/>
    <xf numFmtId="0" fontId="6" fillId="0" borderId="10" xfId="5" applyFont="1" applyBorder="1"/>
    <xf numFmtId="0" fontId="7" fillId="0" borderId="2" xfId="5" applyFont="1" applyBorder="1"/>
    <xf numFmtId="43" fontId="6" fillId="0" borderId="0" xfId="5" applyNumberFormat="1" applyFont="1"/>
    <xf numFmtId="0" fontId="3" fillId="0" borderId="0" xfId="5" applyAlignment="1">
      <alignment horizontal="center"/>
    </xf>
    <xf numFmtId="0" fontId="8" fillId="0" borderId="0" xfId="5" applyFont="1" applyAlignment="1">
      <alignment horizontal="center"/>
    </xf>
    <xf numFmtId="167" fontId="10" fillId="3" borderId="6" xfId="6" applyNumberFormat="1" applyFont="1" applyFill="1" applyBorder="1"/>
    <xf numFmtId="0" fontId="0" fillId="0" borderId="0" xfId="0" applyAlignment="1">
      <alignment vertical="top"/>
    </xf>
    <xf numFmtId="0" fontId="12" fillId="0" borderId="0" xfId="0" applyFont="1" applyAlignment="1">
      <alignment vertical="top" wrapText="1"/>
    </xf>
    <xf numFmtId="0" fontId="0" fillId="0" borderId="0" xfId="0" applyAlignment="1">
      <alignment vertical="top" wrapText="1"/>
    </xf>
    <xf numFmtId="0" fontId="0" fillId="0" borderId="0" xfId="0" applyAlignment="1">
      <alignment vertical="center"/>
    </xf>
    <xf numFmtId="0" fontId="14" fillId="0" borderId="0" xfId="0" applyFont="1" applyAlignment="1">
      <alignment vertical="center" wrapText="1"/>
    </xf>
    <xf numFmtId="0" fontId="15" fillId="0" borderId="0" xfId="0" applyFont="1" applyAlignment="1">
      <alignment vertical="center" wrapText="1"/>
    </xf>
    <xf numFmtId="0" fontId="0" fillId="0" borderId="0" xfId="0" applyAlignment="1">
      <alignment vertical="center" wrapText="1"/>
    </xf>
    <xf numFmtId="0" fontId="3" fillId="0" borderId="14" xfId="5" applyBorder="1" applyProtection="1">
      <protection locked="0"/>
    </xf>
    <xf numFmtId="0" fontId="3" fillId="0" borderId="15" xfId="5" applyBorder="1" applyAlignment="1" applyProtection="1">
      <alignment horizontal="center"/>
      <protection locked="0"/>
    </xf>
    <xf numFmtId="0" fontId="3" fillId="0" borderId="16" xfId="5" applyBorder="1" applyProtection="1">
      <protection locked="0"/>
    </xf>
    <xf numFmtId="0" fontId="3" fillId="0" borderId="17" xfId="5" applyBorder="1" applyAlignment="1" applyProtection="1">
      <alignment horizontal="center"/>
      <protection locked="0"/>
    </xf>
    <xf numFmtId="0" fontId="3" fillId="0" borderId="18" xfId="5" applyBorder="1" applyProtection="1">
      <protection locked="0"/>
    </xf>
    <xf numFmtId="0" fontId="3" fillId="0" borderId="19" xfId="5" applyBorder="1" applyAlignment="1" applyProtection="1">
      <alignment horizontal="center"/>
      <protection locked="0"/>
    </xf>
    <xf numFmtId="0" fontId="2" fillId="0" borderId="1" xfId="5" applyFont="1" applyBorder="1" applyAlignment="1" applyProtection="1">
      <alignment horizontal="left"/>
      <protection locked="0"/>
    </xf>
    <xf numFmtId="166" fontId="3" fillId="0" borderId="1" xfId="4" applyNumberFormat="1" applyFont="1" applyBorder="1" applyProtection="1">
      <protection locked="0"/>
    </xf>
    <xf numFmtId="167" fontId="6" fillId="0" borderId="8" xfId="6" applyNumberFormat="1" applyFont="1" applyBorder="1" applyProtection="1">
      <protection locked="0"/>
    </xf>
    <xf numFmtId="167" fontId="6" fillId="0" borderId="9" xfId="6" applyNumberFormat="1" applyFont="1" applyBorder="1" applyProtection="1">
      <protection locked="0"/>
    </xf>
    <xf numFmtId="9" fontId="6" fillId="0" borderId="9" xfId="5" applyNumberFormat="1" applyFont="1" applyBorder="1" applyProtection="1">
      <protection locked="0"/>
    </xf>
    <xf numFmtId="167" fontId="6" fillId="0" borderId="11" xfId="6" applyNumberFormat="1" applyFont="1" applyBorder="1" applyProtection="1">
      <protection locked="0"/>
    </xf>
    <xf numFmtId="167" fontId="10" fillId="3" borderId="6" xfId="6" applyNumberFormat="1" applyFont="1" applyFill="1" applyBorder="1" applyProtection="1">
      <protection locked="0"/>
    </xf>
    <xf numFmtId="0" fontId="6" fillId="0" borderId="21" xfId="5" applyFont="1" applyBorder="1" applyProtection="1">
      <protection locked="0"/>
    </xf>
    <xf numFmtId="0" fontId="6" fillId="0" borderId="17" xfId="5" applyFont="1" applyBorder="1" applyProtection="1">
      <protection locked="0"/>
    </xf>
    <xf numFmtId="43" fontId="6" fillId="0" borderId="19" xfId="3" applyFont="1" applyBorder="1" applyProtection="1">
      <protection locked="0"/>
    </xf>
    <xf numFmtId="0" fontId="6" fillId="2" borderId="20" xfId="5" applyFont="1" applyFill="1" applyBorder="1"/>
    <xf numFmtId="0" fontId="6" fillId="2" borderId="16" xfId="5" applyFont="1" applyFill="1" applyBorder="1"/>
    <xf numFmtId="0" fontId="6" fillId="2" borderId="18" xfId="5" applyFont="1" applyFill="1" applyBorder="1"/>
    <xf numFmtId="0" fontId="17" fillId="2" borderId="12" xfId="5" applyFont="1" applyFill="1" applyBorder="1"/>
    <xf numFmtId="0" fontId="17" fillId="2" borderId="13" xfId="5" applyFont="1" applyFill="1" applyBorder="1" applyAlignment="1">
      <alignment horizontal="center"/>
    </xf>
    <xf numFmtId="0" fontId="17" fillId="0" borderId="0" xfId="5" applyFont="1"/>
    <xf numFmtId="0" fontId="18" fillId="2" borderId="12" xfId="5" applyFont="1" applyFill="1" applyBorder="1"/>
    <xf numFmtId="0" fontId="18" fillId="2" borderId="13" xfId="5" applyFont="1" applyFill="1" applyBorder="1" applyAlignment="1">
      <alignment horizontal="center"/>
    </xf>
    <xf numFmtId="0" fontId="18" fillId="0" borderId="0" xfId="5" applyFont="1"/>
    <xf numFmtId="0" fontId="17" fillId="2" borderId="1" xfId="5" applyFont="1" applyFill="1" applyBorder="1"/>
    <xf numFmtId="0" fontId="17" fillId="2" borderId="1" xfId="5" applyFont="1" applyFill="1" applyBorder="1" applyAlignment="1">
      <alignment horizontal="center"/>
    </xf>
    <xf numFmtId="0" fontId="19" fillId="0" borderId="1" xfId="8" applyFont="1" applyBorder="1" applyAlignment="1" applyProtection="1">
      <alignment horizontal="center"/>
      <protection locked="0"/>
    </xf>
    <xf numFmtId="0" fontId="19" fillId="0" borderId="29" xfId="8" applyFont="1" applyBorder="1" applyAlignment="1" applyProtection="1">
      <alignment horizontal="center"/>
      <protection locked="0"/>
    </xf>
    <xf numFmtId="0" fontId="19" fillId="5" borderId="1" xfId="8" applyFont="1" applyFill="1" applyBorder="1" applyAlignment="1" applyProtection="1">
      <alignment horizontal="center"/>
      <protection locked="0"/>
    </xf>
    <xf numFmtId="0" fontId="19" fillId="5" borderId="29" xfId="8" applyFont="1" applyFill="1" applyBorder="1" applyAlignment="1" applyProtection="1">
      <alignment horizontal="center"/>
      <protection locked="0"/>
    </xf>
    <xf numFmtId="165" fontId="23" fillId="0" borderId="1" xfId="9" applyNumberFormat="1" applyFont="1" applyFill="1" applyBorder="1" applyProtection="1">
      <protection locked="0"/>
    </xf>
    <xf numFmtId="165" fontId="23" fillId="0" borderId="29" xfId="9" applyNumberFormat="1" applyFont="1" applyFill="1" applyBorder="1" applyProtection="1">
      <protection locked="0"/>
    </xf>
    <xf numFmtId="165" fontId="19" fillId="0" borderId="1" xfId="9" applyNumberFormat="1" applyFont="1" applyFill="1" applyBorder="1" applyProtection="1">
      <protection locked="0"/>
    </xf>
    <xf numFmtId="165" fontId="19" fillId="0" borderId="29" xfId="9" applyNumberFormat="1" applyFont="1" applyFill="1" applyBorder="1" applyProtection="1">
      <protection locked="0"/>
    </xf>
    <xf numFmtId="0" fontId="19" fillId="0" borderId="0" xfId="8" applyFont="1"/>
    <xf numFmtId="43" fontId="19" fillId="0" borderId="0" xfId="9" applyFont="1" applyProtection="1"/>
    <xf numFmtId="43" fontId="19" fillId="0" borderId="0" xfId="9" applyFont="1" applyFill="1" applyProtection="1"/>
    <xf numFmtId="0" fontId="20" fillId="3" borderId="10" xfId="8" applyFont="1" applyFill="1" applyBorder="1"/>
    <xf numFmtId="0" fontId="20" fillId="3" borderId="1" xfId="8" applyFont="1" applyFill="1" applyBorder="1"/>
    <xf numFmtId="0" fontId="19" fillId="0" borderId="20" xfId="8" applyFont="1" applyBorder="1" applyAlignment="1">
      <alignment horizontal="left"/>
    </xf>
    <xf numFmtId="170" fontId="22" fillId="3" borderId="28" xfId="8" applyNumberFormat="1" applyFont="1" applyFill="1" applyBorder="1"/>
    <xf numFmtId="0" fontId="21" fillId="6" borderId="8" xfId="8" applyFont="1" applyFill="1" applyBorder="1"/>
    <xf numFmtId="0" fontId="19" fillId="0" borderId="16" xfId="8" applyFont="1" applyBorder="1"/>
    <xf numFmtId="0" fontId="20" fillId="3" borderId="1" xfId="8" applyFont="1" applyFill="1" applyBorder="1" applyAlignment="1">
      <alignment horizontal="center"/>
    </xf>
    <xf numFmtId="0" fontId="20" fillId="3" borderId="29" xfId="8" applyFont="1" applyFill="1" applyBorder="1" applyAlignment="1">
      <alignment horizontal="center"/>
    </xf>
    <xf numFmtId="0" fontId="21" fillId="6" borderId="9" xfId="8" applyFont="1" applyFill="1" applyBorder="1" applyAlignment="1">
      <alignment horizontal="center"/>
    </xf>
    <xf numFmtId="10" fontId="21" fillId="6" borderId="9" xfId="8" applyNumberFormat="1" applyFont="1" applyFill="1" applyBorder="1" applyAlignment="1">
      <alignment horizontal="center"/>
    </xf>
    <xf numFmtId="0" fontId="19" fillId="5" borderId="16" xfId="8" applyFont="1" applyFill="1" applyBorder="1"/>
    <xf numFmtId="0" fontId="19" fillId="5" borderId="18" xfId="8" applyFont="1" applyFill="1" applyBorder="1"/>
    <xf numFmtId="0" fontId="20" fillId="3" borderId="30" xfId="8" applyFont="1" applyFill="1" applyBorder="1" applyAlignment="1">
      <alignment horizontal="center"/>
    </xf>
    <xf numFmtId="0" fontId="20" fillId="3" borderId="31" xfId="8" applyFont="1" applyFill="1" applyBorder="1" applyAlignment="1">
      <alignment horizontal="center"/>
    </xf>
    <xf numFmtId="10" fontId="21" fillId="6" borderId="24" xfId="8" applyNumberFormat="1" applyFont="1" applyFill="1" applyBorder="1" applyAlignment="1">
      <alignment horizontal="center"/>
    </xf>
    <xf numFmtId="0" fontId="26" fillId="7" borderId="20" xfId="8" applyFont="1" applyFill="1" applyBorder="1"/>
    <xf numFmtId="44" fontId="22" fillId="7" borderId="32" xfId="10" applyFont="1" applyFill="1" applyBorder="1" applyProtection="1"/>
    <xf numFmtId="0" fontId="22" fillId="7" borderId="32" xfId="8" applyFont="1" applyFill="1" applyBorder="1"/>
    <xf numFmtId="0" fontId="22" fillId="7" borderId="21" xfId="8" applyFont="1" applyFill="1" applyBorder="1"/>
    <xf numFmtId="0" fontId="22" fillId="7" borderId="33" xfId="8" applyFont="1" applyFill="1" applyBorder="1"/>
    <xf numFmtId="0" fontId="19" fillId="6" borderId="34" xfId="8" applyFont="1" applyFill="1" applyBorder="1"/>
    <xf numFmtId="168" fontId="19" fillId="6" borderId="9" xfId="8" applyNumberFormat="1" applyFont="1" applyFill="1" applyBorder="1"/>
    <xf numFmtId="0" fontId="21" fillId="5" borderId="16" xfId="8" applyFont="1" applyFill="1" applyBorder="1"/>
    <xf numFmtId="165" fontId="20" fillId="3" borderId="1" xfId="9" applyNumberFormat="1" applyFont="1" applyFill="1" applyBorder="1" applyProtection="1"/>
    <xf numFmtId="165" fontId="20" fillId="3" borderId="29" xfId="9" applyNumberFormat="1" applyFont="1" applyFill="1" applyBorder="1" applyProtection="1"/>
    <xf numFmtId="168" fontId="21" fillId="6" borderId="9" xfId="8" applyNumberFormat="1" applyFont="1" applyFill="1" applyBorder="1"/>
    <xf numFmtId="165" fontId="22" fillId="3" borderId="1" xfId="9" applyNumberFormat="1" applyFont="1" applyFill="1" applyBorder="1" applyProtection="1"/>
    <xf numFmtId="165" fontId="22" fillId="3" borderId="29" xfId="9" applyNumberFormat="1" applyFont="1" applyFill="1" applyBorder="1" applyProtection="1"/>
    <xf numFmtId="10" fontId="23" fillId="6" borderId="9" xfId="8" applyNumberFormat="1" applyFont="1" applyFill="1" applyBorder="1"/>
    <xf numFmtId="0" fontId="21" fillId="5" borderId="18" xfId="8" applyFont="1" applyFill="1" applyBorder="1"/>
    <xf numFmtId="165" fontId="20" fillId="3" borderId="30" xfId="9" applyNumberFormat="1" applyFont="1" applyFill="1" applyBorder="1" applyProtection="1"/>
    <xf numFmtId="165" fontId="20" fillId="3" borderId="31" xfId="9" applyNumberFormat="1" applyFont="1" applyFill="1" applyBorder="1" applyProtection="1"/>
    <xf numFmtId="0" fontId="19" fillId="6" borderId="24" xfId="8" applyFont="1" applyFill="1" applyBorder="1"/>
    <xf numFmtId="0" fontId="20" fillId="0" borderId="0" xfId="8" applyFont="1"/>
    <xf numFmtId="165" fontId="22" fillId="0" borderId="0" xfId="9" applyNumberFormat="1" applyFont="1" applyFill="1" applyBorder="1" applyProtection="1"/>
    <xf numFmtId="168" fontId="22" fillId="0" borderId="0" xfId="8" applyNumberFormat="1" applyFont="1"/>
    <xf numFmtId="165" fontId="22" fillId="7" borderId="32" xfId="9" applyNumberFormat="1" applyFont="1" applyFill="1" applyBorder="1" applyProtection="1"/>
    <xf numFmtId="168" fontId="22" fillId="7" borderId="32" xfId="8" applyNumberFormat="1" applyFont="1" applyFill="1" applyBorder="1"/>
    <xf numFmtId="168" fontId="22" fillId="7" borderId="21" xfId="8" applyNumberFormat="1" applyFont="1" applyFill="1" applyBorder="1"/>
    <xf numFmtId="168" fontId="22" fillId="7" borderId="35" xfId="8" applyNumberFormat="1" applyFont="1" applyFill="1" applyBorder="1"/>
    <xf numFmtId="168" fontId="22" fillId="7" borderId="23" xfId="8" applyNumberFormat="1" applyFont="1" applyFill="1" applyBorder="1"/>
    <xf numFmtId="0" fontId="19" fillId="6" borderId="9" xfId="8" applyFont="1" applyFill="1" applyBorder="1"/>
    <xf numFmtId="10" fontId="19" fillId="6" borderId="9" xfId="8" applyNumberFormat="1" applyFont="1" applyFill="1" applyBorder="1"/>
    <xf numFmtId="0" fontId="21" fillId="0" borderId="36" xfId="8" applyFont="1" applyBorder="1"/>
    <xf numFmtId="40" fontId="21" fillId="0" borderId="36" xfId="8" applyNumberFormat="1" applyFont="1" applyBorder="1"/>
    <xf numFmtId="165" fontId="21" fillId="0" borderId="36" xfId="8" applyNumberFormat="1" applyFont="1" applyBorder="1" applyAlignment="1">
      <alignment horizontal="center"/>
    </xf>
    <xf numFmtId="10" fontId="21" fillId="0" borderId="36" xfId="8" applyNumberFormat="1" applyFont="1" applyBorder="1" applyAlignment="1">
      <alignment horizontal="center"/>
    </xf>
    <xf numFmtId="40" fontId="21" fillId="7" borderId="33" xfId="8" applyNumberFormat="1" applyFont="1" applyFill="1" applyBorder="1"/>
    <xf numFmtId="40" fontId="21" fillId="7" borderId="37" xfId="8" applyNumberFormat="1" applyFont="1" applyFill="1" applyBorder="1"/>
    <xf numFmtId="0" fontId="19" fillId="0" borderId="7" xfId="8" applyFont="1" applyBorder="1"/>
    <xf numFmtId="165" fontId="21" fillId="8" borderId="23" xfId="9" applyNumberFormat="1" applyFont="1" applyFill="1" applyBorder="1" applyProtection="1"/>
    <xf numFmtId="165" fontId="21" fillId="8" borderId="21" xfId="9" applyNumberFormat="1" applyFont="1" applyFill="1" applyBorder="1" applyProtection="1"/>
    <xf numFmtId="43" fontId="19" fillId="6" borderId="23" xfId="8" applyNumberFormat="1" applyFont="1" applyFill="1" applyBorder="1"/>
    <xf numFmtId="43" fontId="19" fillId="0" borderId="0" xfId="8" applyNumberFormat="1" applyFont="1"/>
    <xf numFmtId="0" fontId="19" fillId="0" borderId="40" xfId="8" applyFont="1" applyBorder="1" applyAlignment="1">
      <alignment horizontal="right"/>
    </xf>
    <xf numFmtId="0" fontId="19" fillId="0" borderId="41" xfId="8" applyFont="1" applyBorder="1" applyAlignment="1">
      <alignment horizontal="right"/>
    </xf>
    <xf numFmtId="0" fontId="19" fillId="0" borderId="42" xfId="8" applyFont="1" applyBorder="1" applyAlignment="1">
      <alignment horizontal="right"/>
    </xf>
    <xf numFmtId="10" fontId="20" fillId="3" borderId="9" xfId="8" applyNumberFormat="1" applyFont="1" applyFill="1" applyBorder="1"/>
    <xf numFmtId="10" fontId="20" fillId="3" borderId="17" xfId="8" applyNumberFormat="1" applyFont="1" applyFill="1" applyBorder="1"/>
    <xf numFmtId="0" fontId="19" fillId="0" borderId="43" xfId="8" applyFont="1" applyBorder="1" applyAlignment="1">
      <alignment horizontal="right"/>
    </xf>
    <xf numFmtId="0" fontId="19" fillId="0" borderId="0" xfId="8" applyFont="1" applyAlignment="1">
      <alignment horizontal="right"/>
    </xf>
    <xf numFmtId="0" fontId="19" fillId="0" borderId="44" xfId="8" applyFont="1" applyBorder="1" applyAlignment="1">
      <alignment horizontal="right"/>
    </xf>
    <xf numFmtId="0" fontId="19" fillId="5" borderId="7" xfId="8" applyFont="1" applyFill="1" applyBorder="1"/>
    <xf numFmtId="44" fontId="25" fillId="3" borderId="9" xfId="10" applyFont="1" applyFill="1" applyBorder="1" applyProtection="1"/>
    <xf numFmtId="165" fontId="25" fillId="3" borderId="9" xfId="9" applyNumberFormat="1" applyFont="1" applyFill="1" applyBorder="1" applyProtection="1"/>
    <xf numFmtId="40" fontId="19" fillId="6" borderId="9" xfId="8" applyNumberFormat="1" applyFont="1" applyFill="1" applyBorder="1"/>
    <xf numFmtId="10" fontId="19" fillId="0" borderId="43" xfId="9" applyNumberFormat="1" applyFont="1" applyFill="1" applyBorder="1" applyAlignment="1" applyProtection="1">
      <alignment horizontal="right"/>
    </xf>
    <xf numFmtId="38" fontId="23" fillId="6" borderId="9" xfId="8" applyNumberFormat="1" applyFont="1" applyFill="1" applyBorder="1"/>
    <xf numFmtId="9" fontId="23" fillId="6" borderId="9" xfId="11" applyFont="1" applyFill="1" applyBorder="1" applyProtection="1"/>
    <xf numFmtId="10" fontId="19" fillId="6" borderId="9" xfId="11" applyNumberFormat="1" applyFont="1" applyFill="1" applyBorder="1" applyProtection="1"/>
    <xf numFmtId="43" fontId="19" fillId="0" borderId="0" xfId="9" applyFont="1" applyFill="1" applyBorder="1" applyAlignment="1" applyProtection="1">
      <alignment horizontal="right"/>
    </xf>
    <xf numFmtId="169" fontId="23" fillId="6" borderId="9" xfId="8" applyNumberFormat="1" applyFont="1" applyFill="1" applyBorder="1"/>
    <xf numFmtId="43" fontId="19" fillId="0" borderId="43" xfId="9" applyFont="1" applyFill="1" applyBorder="1" applyAlignment="1" applyProtection="1">
      <alignment horizontal="right"/>
    </xf>
    <xf numFmtId="165" fontId="19" fillId="0" borderId="0" xfId="9" applyNumberFormat="1" applyFont="1" applyFill="1" applyBorder="1" applyAlignment="1" applyProtection="1">
      <alignment horizontal="right"/>
    </xf>
    <xf numFmtId="165" fontId="23" fillId="6" borderId="9" xfId="10" applyNumberFormat="1" applyFont="1" applyFill="1" applyBorder="1" applyProtection="1"/>
    <xf numFmtId="6" fontId="23" fillId="6" borderId="9" xfId="8" applyNumberFormat="1" applyFont="1" applyFill="1" applyBorder="1"/>
    <xf numFmtId="38" fontId="19" fillId="0" borderId="0" xfId="8" applyNumberFormat="1" applyFont="1" applyAlignment="1">
      <alignment horizontal="right"/>
    </xf>
    <xf numFmtId="6" fontId="25" fillId="3" borderId="9" xfId="8" applyNumberFormat="1" applyFont="1" applyFill="1" applyBorder="1"/>
    <xf numFmtId="0" fontId="19" fillId="0" borderId="44" xfId="9" applyNumberFormat="1" applyFont="1" applyFill="1" applyBorder="1" applyAlignment="1" applyProtection="1">
      <alignment horizontal="right"/>
    </xf>
    <xf numFmtId="10" fontId="25" fillId="3" borderId="9" xfId="11" applyNumberFormat="1" applyFont="1" applyFill="1" applyBorder="1" applyProtection="1"/>
    <xf numFmtId="0" fontId="19" fillId="0" borderId="45" xfId="8" applyFont="1" applyBorder="1" applyAlignment="1">
      <alignment horizontal="right"/>
    </xf>
    <xf numFmtId="38" fontId="19" fillId="0" borderId="26" xfId="10" applyNumberFormat="1" applyFont="1" applyFill="1" applyBorder="1" applyAlignment="1" applyProtection="1">
      <alignment horizontal="right"/>
    </xf>
    <xf numFmtId="0" fontId="19" fillId="0" borderId="27" xfId="9" applyNumberFormat="1" applyFont="1" applyFill="1" applyBorder="1" applyAlignment="1" applyProtection="1">
      <alignment horizontal="right"/>
    </xf>
    <xf numFmtId="169" fontId="19" fillId="6" borderId="9" xfId="9" applyNumberFormat="1" applyFont="1" applyFill="1" applyBorder="1" applyProtection="1"/>
    <xf numFmtId="0" fontId="19" fillId="0" borderId="46" xfId="8" applyFont="1" applyBorder="1"/>
    <xf numFmtId="169" fontId="19" fillId="6" borderId="24" xfId="8" applyNumberFormat="1" applyFont="1" applyFill="1" applyBorder="1"/>
    <xf numFmtId="0" fontId="20" fillId="7" borderId="20" xfId="8" applyFont="1" applyFill="1" applyBorder="1"/>
    <xf numFmtId="0" fontId="24" fillId="5" borderId="7" xfId="8" applyFont="1" applyFill="1" applyBorder="1"/>
    <xf numFmtId="0" fontId="21" fillId="0" borderId="1" xfId="8" applyFont="1" applyBorder="1" applyProtection="1">
      <protection locked="0"/>
    </xf>
    <xf numFmtId="44" fontId="27" fillId="0" borderId="17" xfId="10" applyFont="1" applyFill="1" applyBorder="1" applyProtection="1">
      <protection locked="0"/>
    </xf>
    <xf numFmtId="10" fontId="23" fillId="0" borderId="9" xfId="11" applyNumberFormat="1" applyFont="1" applyFill="1" applyBorder="1" applyProtection="1">
      <protection locked="0"/>
    </xf>
    <xf numFmtId="0" fontId="6" fillId="0" borderId="7" xfId="5" applyFont="1" applyBorder="1" applyProtection="1">
      <protection locked="0"/>
    </xf>
    <xf numFmtId="0" fontId="6" fillId="0" borderId="10" xfId="5" applyFont="1" applyBorder="1" applyProtection="1">
      <protection locked="0"/>
    </xf>
    <xf numFmtId="0" fontId="11" fillId="3" borderId="2" xfId="5" applyFont="1" applyFill="1" applyBorder="1" applyAlignment="1">
      <alignment horizontal="center" wrapText="1"/>
    </xf>
    <xf numFmtId="0" fontId="11" fillId="3" borderId="3" xfId="5" applyFont="1" applyFill="1" applyBorder="1" applyAlignment="1">
      <alignment horizontal="center" wrapText="1"/>
    </xf>
    <xf numFmtId="0" fontId="13" fillId="0" borderId="0" xfId="0" applyFont="1" applyAlignment="1">
      <alignment vertical="center" wrapText="1"/>
    </xf>
    <xf numFmtId="0" fontId="0" fillId="0" borderId="0" xfId="0" applyAlignment="1">
      <alignment vertical="center" wrapText="1"/>
    </xf>
    <xf numFmtId="0" fontId="11" fillId="3" borderId="22" xfId="5" applyFont="1" applyFill="1" applyBorder="1" applyAlignment="1">
      <alignment horizontal="center" vertical="center" wrapText="1"/>
    </xf>
    <xf numFmtId="0" fontId="0" fillId="0" borderId="0" xfId="0" applyAlignment="1">
      <alignment horizontal="center" vertical="center" wrapText="1"/>
    </xf>
    <xf numFmtId="0" fontId="13" fillId="0" borderId="0" xfId="0" applyFont="1" applyAlignment="1">
      <alignment vertical="center"/>
    </xf>
    <xf numFmtId="0" fontId="0" fillId="0" borderId="0" xfId="0" applyAlignment="1">
      <alignment vertical="center"/>
    </xf>
    <xf numFmtId="0" fontId="11" fillId="3" borderId="0" xfId="5" applyFont="1" applyFill="1" applyAlignment="1">
      <alignment horizontal="center" wrapText="1"/>
    </xf>
    <xf numFmtId="0" fontId="0" fillId="0" borderId="0" xfId="0" applyAlignment="1">
      <alignment wrapText="1"/>
    </xf>
    <xf numFmtId="0" fontId="20" fillId="4" borderId="25" xfId="8" applyFont="1" applyFill="1" applyBorder="1" applyAlignment="1">
      <alignment horizontal="center"/>
    </xf>
    <xf numFmtId="0" fontId="20" fillId="4" borderId="26" xfId="8" applyFont="1" applyFill="1" applyBorder="1" applyAlignment="1">
      <alignment horizontal="center"/>
    </xf>
    <xf numFmtId="0" fontId="20" fillId="4" borderId="27" xfId="8" applyFont="1" applyFill="1" applyBorder="1" applyAlignment="1">
      <alignment horizontal="center"/>
    </xf>
    <xf numFmtId="0" fontId="21" fillId="0" borderId="29" xfId="8" applyFont="1" applyBorder="1" applyAlignment="1">
      <alignment horizontal="center"/>
    </xf>
    <xf numFmtId="0" fontId="21" fillId="0" borderId="38" xfId="8" applyFont="1" applyBorder="1" applyAlignment="1">
      <alignment horizontal="center"/>
    </xf>
    <xf numFmtId="0" fontId="21" fillId="0" borderId="39" xfId="8" applyFont="1" applyBorder="1" applyAlignment="1">
      <alignment horizontal="center"/>
    </xf>
    <xf numFmtId="0" fontId="10" fillId="3" borderId="2" xfId="5" applyFont="1" applyFill="1" applyBorder="1" applyAlignment="1">
      <alignment vertical="top" wrapText="1"/>
    </xf>
    <xf numFmtId="0" fontId="10" fillId="3" borderId="3" xfId="5" applyFont="1" applyFill="1" applyBorder="1" applyAlignment="1">
      <alignment vertical="top" wrapText="1"/>
    </xf>
  </cellXfs>
  <cellStyles count="12">
    <cellStyle name="Comma" xfId="3" builtinId="3"/>
    <cellStyle name="Comma 2" xfId="6" xr:uid="{D963D0B9-7E1C-4457-BAE6-B0661130EDF9}"/>
    <cellStyle name="Comma 3" xfId="9" xr:uid="{8EAD8AEA-5DFF-4C7F-BA64-AF6E8C5A5E0F}"/>
    <cellStyle name="Currency" xfId="4" builtinId="4"/>
    <cellStyle name="Currency 2" xfId="10" xr:uid="{E520B811-057B-4C12-B682-E20637E26C6B}"/>
    <cellStyle name="Followed Hyperlink" xfId="2" builtinId="9" hidden="1"/>
    <cellStyle name="Hyperlink" xfId="1" builtinId="8" hidden="1"/>
    <cellStyle name="Normal" xfId="0" builtinId="0"/>
    <cellStyle name="Normal 2" xfId="5" xr:uid="{3C23CE14-E5CB-4879-B764-BC2B072B38BE}"/>
    <cellStyle name="Normal 3" xfId="8" xr:uid="{BCFDE668-B553-4658-801B-D4C9A7B6CF08}"/>
    <cellStyle name="Percent 2" xfId="7" xr:uid="{257E217C-9F78-4D25-B116-99BE2F863630}"/>
    <cellStyle name="Percent 3" xfId="11" xr:uid="{79733A5B-201A-4DF7-8932-0F114A2AE62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chartsheet" Target="chartsheets/sheet2.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a:pPr>
            <a:r>
              <a:rPr lang="en-CA" sz="2400"/>
              <a:t>Analyse de Marcher</a:t>
            </a:r>
          </a:p>
        </c:rich>
      </c:tx>
      <c:overlay val="0"/>
    </c:title>
    <c:autoTitleDeleted val="0"/>
    <c:plotArea>
      <c:layout>
        <c:manualLayout>
          <c:layoutTarget val="inner"/>
          <c:xMode val="edge"/>
          <c:yMode val="edge"/>
          <c:x val="6.3874656218211964E-2"/>
          <c:y val="0.29221588627044393"/>
          <c:w val="0.58922299036783077"/>
          <c:h val="0.43824770457963219"/>
        </c:manualLayout>
      </c:layout>
      <c:pieChart>
        <c:varyColors val="1"/>
        <c:ser>
          <c:idx val="0"/>
          <c:order val="0"/>
          <c:dPt>
            <c:idx val="0"/>
            <c:bubble3D val="0"/>
            <c:spPr>
              <a:solidFill>
                <a:srgbClr val="FF0000"/>
              </a:solidFill>
            </c:spPr>
            <c:extLst>
              <c:ext xmlns:c16="http://schemas.microsoft.com/office/drawing/2014/chart" uri="{C3380CC4-5D6E-409C-BE32-E72D297353CC}">
                <c16:uniqueId val="{00000002-0010-4E5E-895F-73388FD4764F}"/>
              </c:ext>
            </c:extLst>
          </c:dPt>
          <c:dPt>
            <c:idx val="3"/>
            <c:bubble3D val="0"/>
            <c:spPr>
              <a:solidFill>
                <a:srgbClr val="00B050"/>
              </a:solidFill>
            </c:spPr>
            <c:extLst>
              <c:ext xmlns:c16="http://schemas.microsoft.com/office/drawing/2014/chart" uri="{C3380CC4-5D6E-409C-BE32-E72D297353CC}">
                <c16:uniqueId val="{00000003-8331-448B-A6F9-E2D04788BB3B}"/>
              </c:ext>
            </c:extLst>
          </c:dPt>
          <c:dLbls>
            <c:dLbl>
              <c:idx val="0"/>
              <c:spPr>
                <a:noFill/>
                <a:ln>
                  <a:noFill/>
                </a:ln>
                <a:effectLst/>
              </c:spPr>
              <c:txPr>
                <a:bodyPr/>
                <a:lstStyle/>
                <a:p>
                  <a:pPr>
                    <a:defRPr sz="1600">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2-0010-4E5E-895F-73388FD4764F}"/>
                </c:ext>
              </c:extLst>
            </c:dLbl>
            <c:dLbl>
              <c:idx val="3"/>
              <c:spPr>
                <a:noFill/>
                <a:ln>
                  <a:noFill/>
                </a:ln>
                <a:effectLst/>
              </c:spPr>
              <c:txPr>
                <a:bodyPr/>
                <a:lstStyle/>
                <a:p>
                  <a:pPr>
                    <a:defRPr sz="1600">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3-8331-448B-A6F9-E2D04788BB3B}"/>
                </c:ext>
              </c:extLst>
            </c:dLbl>
            <c:spPr>
              <a:noFill/>
              <a:ln>
                <a:noFill/>
              </a:ln>
              <a:effectLst/>
            </c:spPr>
            <c:txPr>
              <a:bodyPr/>
              <a:lstStyle/>
              <a:p>
                <a:pPr>
                  <a:defRPr sz="1600"/>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Data!$C$2:$C$5</c:f>
              <c:strCache>
                <c:ptCount val="4"/>
                <c:pt idx="0">
                  <c:v>Propriétés en vente</c:v>
                </c:pt>
                <c:pt idx="1">
                  <c:v>Nouveaux sur le marché depuis 30 jours</c:v>
                </c:pt>
                <c:pt idx="2">
                  <c:v>Éxpirés depuis 30 jours</c:v>
                </c:pt>
                <c:pt idx="3">
                  <c:v>Vendus depuis 30 jours</c:v>
                </c:pt>
              </c:strCache>
            </c:strRef>
          </c:cat>
          <c:val>
            <c:numRef>
              <c:f>Data!$D$2:$D$5</c:f>
              <c:numCache>
                <c:formatCode>General</c:formatCode>
                <c:ptCount val="4"/>
                <c:pt idx="0">
                  <c:v>952</c:v>
                </c:pt>
                <c:pt idx="1">
                  <c:v>139</c:v>
                </c:pt>
                <c:pt idx="2">
                  <c:v>34</c:v>
                </c:pt>
                <c:pt idx="3">
                  <c:v>65</c:v>
                </c:pt>
              </c:numCache>
            </c:numRef>
          </c:val>
          <c:extLst>
            <c:ext xmlns:c16="http://schemas.microsoft.com/office/drawing/2014/chart" uri="{C3380CC4-5D6E-409C-BE32-E72D297353CC}">
              <c16:uniqueId val="{00000000-4FB5-4C6E-898B-E74471849313}"/>
            </c:ext>
          </c:extLst>
        </c:ser>
        <c:dLbls>
          <c:showLegendKey val="0"/>
          <c:showVal val="0"/>
          <c:showCatName val="0"/>
          <c:showSerName val="0"/>
          <c:showPercent val="1"/>
          <c:showBubbleSize val="0"/>
          <c:showLeaderLines val="0"/>
        </c:dLbls>
        <c:firstSliceAng val="0"/>
      </c:pieChart>
    </c:plotArea>
    <c:legend>
      <c:legendPos val="r"/>
      <c:layout>
        <c:manualLayout>
          <c:xMode val="edge"/>
          <c:yMode val="edge"/>
          <c:x val="0.64218171143678804"/>
          <c:y val="0.41024847983859669"/>
          <c:w val="0.34585656607517362"/>
          <c:h val="0.23628678977405404"/>
        </c:manualLayout>
      </c:layout>
      <c:overlay val="0"/>
      <c:txPr>
        <a:bodyPr/>
        <a:lstStyle/>
        <a:p>
          <a:pPr>
            <a:defRPr sz="1400"/>
          </a:pPr>
          <a:endParaRPr lang="en-US"/>
        </a:p>
      </c:txPr>
    </c:legend>
    <c:plotVisOnly val="1"/>
    <c:dispBlanksAs val="zero"/>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a:pPr>
            <a:r>
              <a:rPr lang="en-CA" sz="2400"/>
              <a:t>Market Analysis</a:t>
            </a:r>
          </a:p>
        </c:rich>
      </c:tx>
      <c:overlay val="0"/>
    </c:title>
    <c:autoTitleDeleted val="0"/>
    <c:plotArea>
      <c:layout>
        <c:manualLayout>
          <c:layoutTarget val="inner"/>
          <c:xMode val="edge"/>
          <c:yMode val="edge"/>
          <c:x val="6.2689158472415824E-2"/>
          <c:y val="0.28949173835476966"/>
          <c:w val="0.58458648859084006"/>
          <c:h val="0.43479920325795574"/>
        </c:manualLayout>
      </c:layout>
      <c:pieChart>
        <c:varyColors val="1"/>
        <c:ser>
          <c:idx val="0"/>
          <c:order val="0"/>
          <c:dPt>
            <c:idx val="0"/>
            <c:bubble3D val="0"/>
            <c:spPr>
              <a:solidFill>
                <a:srgbClr val="FF0000"/>
              </a:solidFill>
            </c:spPr>
            <c:extLst>
              <c:ext xmlns:c16="http://schemas.microsoft.com/office/drawing/2014/chart" uri="{C3380CC4-5D6E-409C-BE32-E72D297353CC}">
                <c16:uniqueId val="{00000001-D432-45F5-A47D-C7E43CDC3442}"/>
              </c:ext>
            </c:extLst>
          </c:dPt>
          <c:dPt>
            <c:idx val="3"/>
            <c:bubble3D val="0"/>
            <c:spPr>
              <a:solidFill>
                <a:srgbClr val="00B050"/>
              </a:solidFill>
            </c:spPr>
            <c:extLst>
              <c:ext xmlns:c16="http://schemas.microsoft.com/office/drawing/2014/chart" uri="{C3380CC4-5D6E-409C-BE32-E72D297353CC}">
                <c16:uniqueId val="{00000003-42F2-44FF-B921-A8E4BB0D69A2}"/>
              </c:ext>
            </c:extLst>
          </c:dPt>
          <c:dLbls>
            <c:dLbl>
              <c:idx val="0"/>
              <c:spPr>
                <a:noFill/>
                <a:ln>
                  <a:noFill/>
                </a:ln>
                <a:effectLst/>
              </c:spPr>
              <c:txPr>
                <a:bodyPr/>
                <a:lstStyle/>
                <a:p>
                  <a:pPr>
                    <a:defRPr sz="1600">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D432-45F5-A47D-C7E43CDC3442}"/>
                </c:ext>
              </c:extLst>
            </c:dLbl>
            <c:dLbl>
              <c:idx val="3"/>
              <c:spPr>
                <a:noFill/>
                <a:ln>
                  <a:noFill/>
                </a:ln>
                <a:effectLst/>
              </c:spPr>
              <c:txPr>
                <a:bodyPr/>
                <a:lstStyle/>
                <a:p>
                  <a:pPr>
                    <a:defRPr sz="1600">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3-42F2-44FF-B921-A8E4BB0D69A2}"/>
                </c:ext>
              </c:extLst>
            </c:dLbl>
            <c:spPr>
              <a:noFill/>
              <a:ln>
                <a:noFill/>
              </a:ln>
              <a:effectLst/>
            </c:spPr>
            <c:txPr>
              <a:bodyPr/>
              <a:lstStyle/>
              <a:p>
                <a:pPr>
                  <a:defRPr sz="1600"/>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Data!$A$2:$A$5</c:f>
              <c:strCache>
                <c:ptCount val="4"/>
                <c:pt idx="0">
                  <c:v>Properties for sale</c:v>
                </c:pt>
                <c:pt idx="1">
                  <c:v>New on the market for 30 days</c:v>
                </c:pt>
                <c:pt idx="2">
                  <c:v>Expired 30 days ago</c:v>
                </c:pt>
                <c:pt idx="3">
                  <c:v>Sold for 30 days</c:v>
                </c:pt>
              </c:strCache>
            </c:strRef>
          </c:cat>
          <c:val>
            <c:numRef>
              <c:f>Data!$B$2:$B$5</c:f>
              <c:numCache>
                <c:formatCode>General</c:formatCode>
                <c:ptCount val="4"/>
                <c:pt idx="0">
                  <c:v>213</c:v>
                </c:pt>
                <c:pt idx="1">
                  <c:v>72</c:v>
                </c:pt>
                <c:pt idx="2">
                  <c:v>12</c:v>
                </c:pt>
                <c:pt idx="3">
                  <c:v>36</c:v>
                </c:pt>
              </c:numCache>
            </c:numRef>
          </c:val>
          <c:extLst>
            <c:ext xmlns:c16="http://schemas.microsoft.com/office/drawing/2014/chart" uri="{C3380CC4-5D6E-409C-BE32-E72D297353CC}">
              <c16:uniqueId val="{00000000-704A-4A20-B344-09702CAC3EFA}"/>
            </c:ext>
          </c:extLst>
        </c:ser>
        <c:dLbls>
          <c:showLegendKey val="0"/>
          <c:showVal val="0"/>
          <c:showCatName val="0"/>
          <c:showSerName val="0"/>
          <c:showPercent val="1"/>
          <c:showBubbleSize val="0"/>
          <c:showLeaderLines val="0"/>
        </c:dLbls>
        <c:firstSliceAng val="0"/>
      </c:pieChart>
    </c:plotArea>
    <c:legend>
      <c:legendPos val="r"/>
      <c:layout>
        <c:manualLayout>
          <c:xMode val="edge"/>
          <c:yMode val="edge"/>
          <c:x val="0.64816257268080724"/>
          <c:y val="0.41024847983859669"/>
          <c:w val="0.33987570483115448"/>
          <c:h val="0.23628678977405404"/>
        </c:manualLayout>
      </c:layout>
      <c:overlay val="0"/>
      <c:txPr>
        <a:bodyPr/>
        <a:lstStyle/>
        <a:p>
          <a:pPr>
            <a:defRPr sz="1400"/>
          </a:pPr>
          <a:endParaRPr lang="en-US"/>
        </a:p>
      </c:txPr>
    </c:legend>
    <c:plotVisOnly val="1"/>
    <c:dispBlanksAs val="zero"/>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77B1E98-0861-4DAC-BE6C-3E2D7C7047E1}">
  <sheetPr>
    <tabColor rgb="FF92D050"/>
  </sheetPr>
  <sheetViews>
    <sheetView workbookViewId="0"/>
  </sheetViews>
  <pageMargins left="0.7" right="0.7" top="0.75" bottom="0.75" header="0.3" footer="0.3"/>
  <pageSetup orientation="portrait" verticalDpi="3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CB3CF7-BB62-4698-8FA7-8A72ACBE47F3}">
  <sheetPr>
    <tabColor rgb="FF92D050"/>
  </sheetPr>
  <sheetViews>
    <sheetView workbookViewId="0"/>
  </sheetViews>
  <pageMargins left="0.7" right="0.7" top="0.75" bottom="0.75" header="0.3" footer="0.3"/>
  <pageSetup orientation="portrait" verticalDpi="300"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jp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468527</xdr:colOff>
      <xdr:row>0</xdr:row>
      <xdr:rowOff>68580</xdr:rowOff>
    </xdr:from>
    <xdr:to>
      <xdr:col>4</xdr:col>
      <xdr:colOff>356983</xdr:colOff>
      <xdr:row>6</xdr:row>
      <xdr:rowOff>185580</xdr:rowOff>
    </xdr:to>
    <xdr:pic>
      <xdr:nvPicPr>
        <xdr:cNvPr id="3" name="Picture 2">
          <a:extLst>
            <a:ext uri="{FF2B5EF4-FFF2-40B4-BE49-F238E27FC236}">
              <a16:creationId xmlns:a16="http://schemas.microsoft.com/office/drawing/2014/main" id="{D2D926F9-69C7-4CC1-A5E2-52E988B51C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12667" y="68580"/>
          <a:ext cx="2700236" cy="1260000"/>
        </a:xfrm>
        <a:prstGeom prst="rect">
          <a:avLst/>
        </a:prstGeom>
      </xdr:spPr>
    </xdr:pic>
    <xdr:clientData/>
  </xdr:twoCellAnchor>
  <xdr:twoCellAnchor editAs="oneCell">
    <xdr:from>
      <xdr:col>0</xdr:col>
      <xdr:colOff>0</xdr:colOff>
      <xdr:row>0</xdr:row>
      <xdr:rowOff>68580</xdr:rowOff>
    </xdr:from>
    <xdr:to>
      <xdr:col>1</xdr:col>
      <xdr:colOff>191546</xdr:colOff>
      <xdr:row>6</xdr:row>
      <xdr:rowOff>185580</xdr:rowOff>
    </xdr:to>
    <xdr:pic>
      <xdr:nvPicPr>
        <xdr:cNvPr id="4" name="Picture 3">
          <a:extLst>
            <a:ext uri="{FF2B5EF4-FFF2-40B4-BE49-F238E27FC236}">
              <a16:creationId xmlns:a16="http://schemas.microsoft.com/office/drawing/2014/main" id="{4187B15A-5133-43C5-A4E3-C5AD5FC3DA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8580"/>
          <a:ext cx="2835686" cy="126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6370320" cy="8564880"/>
    <xdr:graphicFrame macro="">
      <xdr:nvGraphicFramePr>
        <xdr:cNvPr id="2" name="Chart 1">
          <a:extLst>
            <a:ext uri="{FF2B5EF4-FFF2-40B4-BE49-F238E27FC236}">
              <a16:creationId xmlns:a16="http://schemas.microsoft.com/office/drawing/2014/main" id="{5596134C-9465-4F9E-B643-E2D047BBCD3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365760</xdr:colOff>
      <xdr:row>6</xdr:row>
      <xdr:rowOff>116205</xdr:rowOff>
    </xdr:to>
    <xdr:pic>
      <xdr:nvPicPr>
        <xdr:cNvPr id="2" name="Picture 1">
          <a:extLst>
            <a:ext uri="{FF2B5EF4-FFF2-40B4-BE49-F238E27FC236}">
              <a16:creationId xmlns:a16="http://schemas.microsoft.com/office/drawing/2014/main" id="{3AAE6C4E-7F80-483C-8A6A-42DAFE4B7E8A}"/>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266700</xdr:colOff>
      <xdr:row>6</xdr:row>
      <xdr:rowOff>116205</xdr:rowOff>
    </xdr:to>
    <xdr:pic>
      <xdr:nvPicPr>
        <xdr:cNvPr id="2" name="Picture 1">
          <a:extLst>
            <a:ext uri="{FF2B5EF4-FFF2-40B4-BE49-F238E27FC236}">
              <a16:creationId xmlns:a16="http://schemas.microsoft.com/office/drawing/2014/main" id="{94B141AB-38D8-448C-B130-6CE996274BBF}"/>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468527</xdr:colOff>
      <xdr:row>0</xdr:row>
      <xdr:rowOff>68580</xdr:rowOff>
    </xdr:from>
    <xdr:to>
      <xdr:col>4</xdr:col>
      <xdr:colOff>356983</xdr:colOff>
      <xdr:row>6</xdr:row>
      <xdr:rowOff>185580</xdr:rowOff>
    </xdr:to>
    <xdr:pic>
      <xdr:nvPicPr>
        <xdr:cNvPr id="3" name="Picture 2">
          <a:extLst>
            <a:ext uri="{FF2B5EF4-FFF2-40B4-BE49-F238E27FC236}">
              <a16:creationId xmlns:a16="http://schemas.microsoft.com/office/drawing/2014/main" id="{6AF73AFB-4426-475E-991A-EE18346D4F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12667" y="68580"/>
          <a:ext cx="2700236" cy="1260000"/>
        </a:xfrm>
        <a:prstGeom prst="rect">
          <a:avLst/>
        </a:prstGeom>
      </xdr:spPr>
    </xdr:pic>
    <xdr:clientData/>
  </xdr:twoCellAnchor>
  <xdr:twoCellAnchor editAs="oneCell">
    <xdr:from>
      <xdr:col>0</xdr:col>
      <xdr:colOff>0</xdr:colOff>
      <xdr:row>0</xdr:row>
      <xdr:rowOff>68580</xdr:rowOff>
    </xdr:from>
    <xdr:to>
      <xdr:col>1</xdr:col>
      <xdr:colOff>191546</xdr:colOff>
      <xdr:row>6</xdr:row>
      <xdr:rowOff>185580</xdr:rowOff>
    </xdr:to>
    <xdr:pic>
      <xdr:nvPicPr>
        <xdr:cNvPr id="4" name="Picture 3">
          <a:extLst>
            <a:ext uri="{FF2B5EF4-FFF2-40B4-BE49-F238E27FC236}">
              <a16:creationId xmlns:a16="http://schemas.microsoft.com/office/drawing/2014/main" id="{24E765A8-F10C-41E9-A99B-822FAE5AEFF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8580"/>
          <a:ext cx="2835686" cy="12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2983127</xdr:colOff>
      <xdr:row>0</xdr:row>
      <xdr:rowOff>68580</xdr:rowOff>
    </xdr:from>
    <xdr:to>
      <xdr:col>1</xdr:col>
      <xdr:colOff>5683363</xdr:colOff>
      <xdr:row>6</xdr:row>
      <xdr:rowOff>139860</xdr:rowOff>
    </xdr:to>
    <xdr:pic>
      <xdr:nvPicPr>
        <xdr:cNvPr id="2" name="Picture 1">
          <a:extLst>
            <a:ext uri="{FF2B5EF4-FFF2-40B4-BE49-F238E27FC236}">
              <a16:creationId xmlns:a16="http://schemas.microsoft.com/office/drawing/2014/main" id="{46827904-CACF-4204-9130-6D733F1EF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12667" y="68580"/>
          <a:ext cx="2700236" cy="1260000"/>
        </a:xfrm>
        <a:prstGeom prst="rect">
          <a:avLst/>
        </a:prstGeom>
      </xdr:spPr>
    </xdr:pic>
    <xdr:clientData/>
  </xdr:twoCellAnchor>
  <xdr:twoCellAnchor editAs="oneCell">
    <xdr:from>
      <xdr:col>0</xdr:col>
      <xdr:colOff>0</xdr:colOff>
      <xdr:row>0</xdr:row>
      <xdr:rowOff>68580</xdr:rowOff>
    </xdr:from>
    <xdr:to>
      <xdr:col>1</xdr:col>
      <xdr:colOff>2706146</xdr:colOff>
      <xdr:row>6</xdr:row>
      <xdr:rowOff>139860</xdr:rowOff>
    </xdr:to>
    <xdr:pic>
      <xdr:nvPicPr>
        <xdr:cNvPr id="3" name="Picture 2">
          <a:extLst>
            <a:ext uri="{FF2B5EF4-FFF2-40B4-BE49-F238E27FC236}">
              <a16:creationId xmlns:a16="http://schemas.microsoft.com/office/drawing/2014/main" id="{FBB029D6-4722-40D6-84E7-E88948FCC0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8580"/>
          <a:ext cx="2835686" cy="126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2983127</xdr:colOff>
      <xdr:row>0</xdr:row>
      <xdr:rowOff>68580</xdr:rowOff>
    </xdr:from>
    <xdr:to>
      <xdr:col>1</xdr:col>
      <xdr:colOff>5683363</xdr:colOff>
      <xdr:row>6</xdr:row>
      <xdr:rowOff>139860</xdr:rowOff>
    </xdr:to>
    <xdr:pic>
      <xdr:nvPicPr>
        <xdr:cNvPr id="3" name="Picture 2">
          <a:extLst>
            <a:ext uri="{FF2B5EF4-FFF2-40B4-BE49-F238E27FC236}">
              <a16:creationId xmlns:a16="http://schemas.microsoft.com/office/drawing/2014/main" id="{3A868907-35AE-4E6D-8B77-6C147B27B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12667" y="68580"/>
          <a:ext cx="2700236" cy="1260000"/>
        </a:xfrm>
        <a:prstGeom prst="rect">
          <a:avLst/>
        </a:prstGeom>
      </xdr:spPr>
    </xdr:pic>
    <xdr:clientData/>
  </xdr:twoCellAnchor>
  <xdr:twoCellAnchor editAs="oneCell">
    <xdr:from>
      <xdr:col>0</xdr:col>
      <xdr:colOff>0</xdr:colOff>
      <xdr:row>0</xdr:row>
      <xdr:rowOff>68580</xdr:rowOff>
    </xdr:from>
    <xdr:to>
      <xdr:col>1</xdr:col>
      <xdr:colOff>2706146</xdr:colOff>
      <xdr:row>6</xdr:row>
      <xdr:rowOff>139860</xdr:rowOff>
    </xdr:to>
    <xdr:pic>
      <xdr:nvPicPr>
        <xdr:cNvPr id="4" name="Picture 3">
          <a:extLst>
            <a:ext uri="{FF2B5EF4-FFF2-40B4-BE49-F238E27FC236}">
              <a16:creationId xmlns:a16="http://schemas.microsoft.com/office/drawing/2014/main" id="{AF08A10B-78F8-4AD2-82B5-B60F1DD104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8580"/>
          <a:ext cx="2835686" cy="126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2865120</xdr:colOff>
      <xdr:row>6</xdr:row>
      <xdr:rowOff>116205</xdr:rowOff>
    </xdr:to>
    <xdr:pic>
      <xdr:nvPicPr>
        <xdr:cNvPr id="2" name="Picture 1">
          <a:extLst>
            <a:ext uri="{FF2B5EF4-FFF2-40B4-BE49-F238E27FC236}">
              <a16:creationId xmlns:a16="http://schemas.microsoft.com/office/drawing/2014/main" id="{BE800280-9361-4F2F-A001-D57D8933BA98}"/>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2865120</xdr:colOff>
      <xdr:row>6</xdr:row>
      <xdr:rowOff>116205</xdr:rowOff>
    </xdr:to>
    <xdr:pic>
      <xdr:nvPicPr>
        <xdr:cNvPr id="2" name="Picture 1">
          <a:extLst>
            <a:ext uri="{FF2B5EF4-FFF2-40B4-BE49-F238E27FC236}">
              <a16:creationId xmlns:a16="http://schemas.microsoft.com/office/drawing/2014/main" id="{2BF66301-D822-4C5E-9942-B964D5ED9A2F}"/>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37778</xdr:colOff>
      <xdr:row>0</xdr:row>
      <xdr:rowOff>0</xdr:rowOff>
    </xdr:from>
    <xdr:to>
      <xdr:col>2</xdr:col>
      <xdr:colOff>398226</xdr:colOff>
      <xdr:row>0</xdr:row>
      <xdr:rowOff>1260000</xdr:rowOff>
    </xdr:to>
    <xdr:pic>
      <xdr:nvPicPr>
        <xdr:cNvPr id="4" name="Picture 3">
          <a:extLst>
            <a:ext uri="{FF2B5EF4-FFF2-40B4-BE49-F238E27FC236}">
              <a16:creationId xmlns:a16="http://schemas.microsoft.com/office/drawing/2014/main" id="{CFB74B2D-1512-4952-AE7E-03E24131A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66460" y="0"/>
          <a:ext cx="2700236" cy="1260000"/>
        </a:xfrm>
        <a:prstGeom prst="rect">
          <a:avLst/>
        </a:prstGeom>
      </xdr:spPr>
    </xdr:pic>
    <xdr:clientData/>
  </xdr:twoCellAnchor>
  <xdr:twoCellAnchor editAs="oneCell">
    <xdr:from>
      <xdr:col>0</xdr:col>
      <xdr:colOff>53793</xdr:colOff>
      <xdr:row>0</xdr:row>
      <xdr:rowOff>0</xdr:rowOff>
    </xdr:from>
    <xdr:to>
      <xdr:col>0</xdr:col>
      <xdr:colOff>2889479</xdr:colOff>
      <xdr:row>0</xdr:row>
      <xdr:rowOff>1260000</xdr:rowOff>
    </xdr:to>
    <xdr:pic>
      <xdr:nvPicPr>
        <xdr:cNvPr id="5" name="Picture 4">
          <a:extLst>
            <a:ext uri="{FF2B5EF4-FFF2-40B4-BE49-F238E27FC236}">
              <a16:creationId xmlns:a16="http://schemas.microsoft.com/office/drawing/2014/main" id="{469A026C-C38B-4526-87D4-765C9DBB23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793" y="0"/>
          <a:ext cx="2835686" cy="126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3124432</xdr:colOff>
      <xdr:row>0</xdr:row>
      <xdr:rowOff>0</xdr:rowOff>
    </xdr:from>
    <xdr:to>
      <xdr:col>1</xdr:col>
      <xdr:colOff>1951915</xdr:colOff>
      <xdr:row>0</xdr:row>
      <xdr:rowOff>1260000</xdr:rowOff>
    </xdr:to>
    <xdr:pic>
      <xdr:nvPicPr>
        <xdr:cNvPr id="2" name="Picture 1">
          <a:extLst>
            <a:ext uri="{FF2B5EF4-FFF2-40B4-BE49-F238E27FC236}">
              <a16:creationId xmlns:a16="http://schemas.microsoft.com/office/drawing/2014/main" id="{66950BF7-7504-4116-837A-3BD76332D5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124432" y="0"/>
          <a:ext cx="2700236" cy="1260000"/>
        </a:xfrm>
        <a:prstGeom prst="rect">
          <a:avLst/>
        </a:prstGeom>
      </xdr:spPr>
    </xdr:pic>
    <xdr:clientData/>
  </xdr:twoCellAnchor>
  <xdr:twoCellAnchor editAs="oneCell">
    <xdr:from>
      <xdr:col>0</xdr:col>
      <xdr:colOff>11765</xdr:colOff>
      <xdr:row>0</xdr:row>
      <xdr:rowOff>0</xdr:rowOff>
    </xdr:from>
    <xdr:to>
      <xdr:col>0</xdr:col>
      <xdr:colOff>2847451</xdr:colOff>
      <xdr:row>0</xdr:row>
      <xdr:rowOff>1260000</xdr:rowOff>
    </xdr:to>
    <xdr:pic>
      <xdr:nvPicPr>
        <xdr:cNvPr id="3" name="Picture 2">
          <a:extLst>
            <a:ext uri="{FF2B5EF4-FFF2-40B4-BE49-F238E27FC236}">
              <a16:creationId xmlns:a16="http://schemas.microsoft.com/office/drawing/2014/main" id="{97AAB16B-23CC-480B-B9FC-BD0DD609CF8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65" y="0"/>
          <a:ext cx="2835686" cy="12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absoluteAnchor>
    <xdr:pos x="0" y="0"/>
    <xdr:ext cx="6370320" cy="8564880"/>
    <xdr:graphicFrame macro="">
      <xdr:nvGraphicFramePr>
        <xdr:cNvPr id="2" name="Chart 1">
          <a:extLst>
            <a:ext uri="{FF2B5EF4-FFF2-40B4-BE49-F238E27FC236}">
              <a16:creationId xmlns:a16="http://schemas.microsoft.com/office/drawing/2014/main" id="{6D994E28-1276-439D-B38C-AD08EC42EB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7BC79-EB85-43EF-912E-6C0F135840E7}">
  <sheetPr>
    <tabColor rgb="FF92D050"/>
  </sheetPr>
  <dimension ref="A1:B15"/>
  <sheetViews>
    <sheetView showGridLines="0" zoomScaleNormal="100" workbookViewId="0">
      <selection activeCell="A8" sqref="A8:XFD8"/>
    </sheetView>
  </sheetViews>
  <sheetFormatPr defaultColWidth="8.796875" defaultRowHeight="14.4" x14ac:dyDescent="0.3"/>
  <cols>
    <col min="1" max="1" width="34.69921875" style="1" customWidth="1"/>
    <col min="2" max="2" width="19.296875" style="11" bestFit="1" customWidth="1"/>
    <col min="3" max="16384" width="8.796875" style="1"/>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row r="8" spans="1:2" ht="15.45" customHeight="1" thickBot="1" x14ac:dyDescent="0.35"/>
    <row r="9" spans="1:2" ht="24" thickBot="1" x14ac:dyDescent="0.5">
      <c r="A9" s="152" t="s">
        <v>18</v>
      </c>
      <c r="B9" s="153"/>
    </row>
    <row r="10" spans="1:2" ht="49.95" customHeight="1" thickBot="1" x14ac:dyDescent="0.45">
      <c r="B10" s="12"/>
    </row>
    <row r="11" spans="1:2" s="45" customFormat="1" ht="15" thickBot="1" x14ac:dyDescent="0.35">
      <c r="A11" s="43" t="s">
        <v>15</v>
      </c>
      <c r="B11" s="44" t="s">
        <v>16</v>
      </c>
    </row>
    <row r="12" spans="1:2" x14ac:dyDescent="0.3">
      <c r="A12" s="21" t="s">
        <v>17</v>
      </c>
      <c r="B12" s="22" t="s">
        <v>25</v>
      </c>
    </row>
    <row r="13" spans="1:2" x14ac:dyDescent="0.3">
      <c r="A13" s="23" t="s">
        <v>22</v>
      </c>
      <c r="B13" s="24" t="s">
        <v>25</v>
      </c>
    </row>
    <row r="14" spans="1:2" x14ac:dyDescent="0.3">
      <c r="A14" s="23" t="s">
        <v>23</v>
      </c>
      <c r="B14" s="24" t="s">
        <v>25</v>
      </c>
    </row>
    <row r="15" spans="1:2" ht="15" thickBot="1" x14ac:dyDescent="0.35">
      <c r="A15" s="25" t="s">
        <v>24</v>
      </c>
      <c r="B15" s="26" t="s">
        <v>25</v>
      </c>
    </row>
  </sheetData>
  <mergeCells count="1">
    <mergeCell ref="A9:B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4252-1951-42DB-8A40-FD192F5A554C}">
  <sheetPr>
    <tabColor rgb="FF92D050"/>
  </sheetPr>
  <dimension ref="A7:B21"/>
  <sheetViews>
    <sheetView showGridLines="0" topLeftCell="A13" zoomScaleNormal="100" workbookViewId="0">
      <selection activeCell="D16" sqref="D16"/>
    </sheetView>
  </sheetViews>
  <sheetFormatPr defaultColWidth="8.796875" defaultRowHeight="15.6" x14ac:dyDescent="0.3"/>
  <cols>
    <col min="1" max="1" width="34" style="2" bestFit="1" customWidth="1"/>
    <col min="2" max="2" width="12.19921875" style="2" bestFit="1" customWidth="1"/>
    <col min="3" max="16384" width="8.796875" style="2"/>
  </cols>
  <sheetData>
    <row r="7" spans="1:2" ht="16.2" thickBot="1" x14ac:dyDescent="0.35"/>
    <row r="8" spans="1:2" s="3" customFormat="1" ht="62.25" customHeight="1" thickBot="1" x14ac:dyDescent="0.35">
      <c r="A8" s="168" t="s">
        <v>11</v>
      </c>
      <c r="B8" s="169"/>
    </row>
    <row r="9" spans="1:2" ht="49.95" customHeight="1" thickBot="1" x14ac:dyDescent="0.35">
      <c r="A9" s="4"/>
      <c r="B9" s="4"/>
    </row>
    <row r="10" spans="1:2" ht="16.2" thickBot="1" x14ac:dyDescent="0.35">
      <c r="A10" s="5" t="s">
        <v>91</v>
      </c>
      <c r="B10" s="33">
        <f>'Analyser (FR)'!B49</f>
        <v>1016488.3930049535</v>
      </c>
    </row>
    <row r="11" spans="1:2" x14ac:dyDescent="0.3">
      <c r="A11" s="6" t="s">
        <v>92</v>
      </c>
      <c r="B11" s="29">
        <v>500</v>
      </c>
    </row>
    <row r="12" spans="1:2" x14ac:dyDescent="0.3">
      <c r="A12" s="6" t="s">
        <v>93</v>
      </c>
      <c r="B12" s="30">
        <v>0</v>
      </c>
    </row>
    <row r="13" spans="1:2" x14ac:dyDescent="0.3">
      <c r="A13" s="6" t="s">
        <v>94</v>
      </c>
      <c r="B13" s="30">
        <v>0</v>
      </c>
    </row>
    <row r="14" spans="1:2" x14ac:dyDescent="0.3">
      <c r="A14" s="6" t="s">
        <v>95</v>
      </c>
      <c r="B14" s="31">
        <v>0.06</v>
      </c>
    </row>
    <row r="15" spans="1:2" x14ac:dyDescent="0.3">
      <c r="A15" s="6" t="s">
        <v>96</v>
      </c>
      <c r="B15" s="7">
        <f>B14*B10</f>
        <v>60989.303580297208</v>
      </c>
    </row>
    <row r="16" spans="1:2" x14ac:dyDescent="0.3">
      <c r="A16" s="6" t="s">
        <v>97</v>
      </c>
      <c r="B16" s="7">
        <f>B15*0.05</f>
        <v>3049.4651790148605</v>
      </c>
    </row>
    <row r="17" spans="1:2" x14ac:dyDescent="0.3">
      <c r="A17" s="6" t="s">
        <v>98</v>
      </c>
      <c r="B17" s="7">
        <f>B13*0.09975</f>
        <v>0</v>
      </c>
    </row>
    <row r="18" spans="1:2" x14ac:dyDescent="0.3">
      <c r="A18" s="8" t="s">
        <v>99</v>
      </c>
      <c r="B18" s="32">
        <v>1200</v>
      </c>
    </row>
    <row r="19" spans="1:2" x14ac:dyDescent="0.3">
      <c r="A19" s="150"/>
      <c r="B19" s="7"/>
    </row>
    <row r="20" spans="1:2" ht="16.2" thickBot="1" x14ac:dyDescent="0.35">
      <c r="A20" s="151"/>
      <c r="B20" s="32"/>
    </row>
    <row r="21" spans="1:2" ht="16.2" thickBot="1" x14ac:dyDescent="0.35">
      <c r="A21" s="9" t="s">
        <v>100</v>
      </c>
      <c r="B21" s="13">
        <f>B10-SUM(B11:B20)</f>
        <v>950749.56424564146</v>
      </c>
    </row>
  </sheetData>
  <mergeCells count="1">
    <mergeCell ref="A8:B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D263B-CD20-429C-BDBF-B3BC20BAF683}">
  <dimension ref="A1:D6"/>
  <sheetViews>
    <sheetView workbookViewId="0">
      <selection activeCell="A8" sqref="A8:XFD8"/>
    </sheetView>
  </sheetViews>
  <sheetFormatPr defaultColWidth="8.19921875" defaultRowHeight="15.6" x14ac:dyDescent="0.3"/>
  <cols>
    <col min="1" max="1" width="40.5" style="2" bestFit="1" customWidth="1"/>
    <col min="2" max="2" width="11.796875" style="2" bestFit="1" customWidth="1"/>
    <col min="3" max="3" width="40.5" style="2" bestFit="1" customWidth="1"/>
    <col min="4" max="4" width="11.796875" style="2" bestFit="1" customWidth="1"/>
    <col min="5" max="16384" width="8.19921875" style="2"/>
  </cols>
  <sheetData>
    <row r="1" spans="1:4" x14ac:dyDescent="0.3">
      <c r="A1" s="37" t="s">
        <v>26</v>
      </c>
      <c r="B1" s="34"/>
      <c r="C1" s="37" t="s">
        <v>90</v>
      </c>
      <c r="D1" s="34"/>
    </row>
    <row r="2" spans="1:4" x14ac:dyDescent="0.3">
      <c r="A2" s="38" t="s">
        <v>33</v>
      </c>
      <c r="B2" s="35">
        <v>213</v>
      </c>
      <c r="C2" s="38" t="s">
        <v>32</v>
      </c>
      <c r="D2" s="35">
        <v>952</v>
      </c>
    </row>
    <row r="3" spans="1:4" x14ac:dyDescent="0.3">
      <c r="A3" s="38" t="s">
        <v>28</v>
      </c>
      <c r="B3" s="35">
        <v>72</v>
      </c>
      <c r="C3" s="38" t="s">
        <v>12</v>
      </c>
      <c r="D3" s="35">
        <v>139</v>
      </c>
    </row>
    <row r="4" spans="1:4" x14ac:dyDescent="0.3">
      <c r="A4" s="38" t="s">
        <v>29</v>
      </c>
      <c r="B4" s="35">
        <v>12</v>
      </c>
      <c r="C4" s="38" t="s">
        <v>27</v>
      </c>
      <c r="D4" s="35">
        <v>34</v>
      </c>
    </row>
    <row r="5" spans="1:4" x14ac:dyDescent="0.3">
      <c r="A5" s="38" t="s">
        <v>30</v>
      </c>
      <c r="B5" s="35">
        <v>36</v>
      </c>
      <c r="C5" s="38" t="s">
        <v>13</v>
      </c>
      <c r="D5" s="35">
        <v>65</v>
      </c>
    </row>
    <row r="6" spans="1:4" ht="16.2" thickBot="1" x14ac:dyDescent="0.35">
      <c r="A6" s="39" t="s">
        <v>31</v>
      </c>
      <c r="B6" s="36">
        <f>B2/B5</f>
        <v>5.916666666666667</v>
      </c>
      <c r="C6" s="39" t="s">
        <v>14</v>
      </c>
      <c r="D6" s="36">
        <f>D2/D5</f>
        <v>14.646153846153846</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9DEF-AE3C-4CB0-9755-D282CD7AB7B2}">
  <sheetPr>
    <tabColor rgb="FF92D050"/>
  </sheetPr>
  <dimension ref="A1:B15"/>
  <sheetViews>
    <sheetView showGridLines="0" zoomScaleNormal="100" workbookViewId="0">
      <selection activeCell="A9" sqref="A9:XFD9"/>
    </sheetView>
  </sheetViews>
  <sheetFormatPr defaultColWidth="8.796875" defaultRowHeight="14.4" x14ac:dyDescent="0.3"/>
  <cols>
    <col min="1" max="1" width="34.69921875" style="1" customWidth="1"/>
    <col min="2" max="2" width="19.296875" style="11" bestFit="1" customWidth="1"/>
    <col min="3" max="16384" width="8.796875" style="1"/>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row r="8" spans="1:2" ht="15.45" customHeight="1" thickBot="1" x14ac:dyDescent="0.35"/>
    <row r="9" spans="1:2" ht="24" thickBot="1" x14ac:dyDescent="0.5">
      <c r="A9" s="152" t="s">
        <v>19</v>
      </c>
      <c r="B9" s="153"/>
    </row>
    <row r="10" spans="1:2" ht="49.95" customHeight="1" thickBot="1" x14ac:dyDescent="0.45">
      <c r="B10" s="12"/>
    </row>
    <row r="11" spans="1:2" s="42" customFormat="1" ht="15" thickBot="1" x14ac:dyDescent="0.35">
      <c r="A11" s="40" t="s">
        <v>20</v>
      </c>
      <c r="B11" s="41" t="s">
        <v>21</v>
      </c>
    </row>
    <row r="12" spans="1:2" x14ac:dyDescent="0.3">
      <c r="A12" s="21" t="s">
        <v>17</v>
      </c>
      <c r="B12" s="22" t="s">
        <v>25</v>
      </c>
    </row>
    <row r="13" spans="1:2" x14ac:dyDescent="0.3">
      <c r="A13" s="21" t="s">
        <v>22</v>
      </c>
      <c r="B13" s="22" t="s">
        <v>25</v>
      </c>
    </row>
    <row r="14" spans="1:2" x14ac:dyDescent="0.3">
      <c r="A14" s="21" t="s">
        <v>23</v>
      </c>
      <c r="B14" s="22" t="s">
        <v>25</v>
      </c>
    </row>
    <row r="15" spans="1:2" x14ac:dyDescent="0.3">
      <c r="A15" s="21" t="s">
        <v>24</v>
      </c>
      <c r="B15" s="22" t="s">
        <v>25</v>
      </c>
    </row>
  </sheetData>
  <mergeCells count="1">
    <mergeCell ref="A9:B9"/>
  </mergeCells>
  <phoneticPr fontId="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C15B-DE5A-4A27-9CEE-457E7CFECE84}">
  <sheetPr published="0">
    <tabColor rgb="FF92D050"/>
  </sheetPr>
  <dimension ref="A1:B34"/>
  <sheetViews>
    <sheetView showGridLines="0" zoomScaleNormal="100" workbookViewId="0">
      <selection activeCell="A9" sqref="A9:XFD9"/>
    </sheetView>
  </sheetViews>
  <sheetFormatPr defaultColWidth="8.796875" defaultRowHeight="15.6" x14ac:dyDescent="0.3"/>
  <cols>
    <col min="1" max="1" width="1.69921875" style="14" customWidth="1"/>
    <col min="2" max="2" width="80.69921875" style="16" customWidth="1"/>
    <col min="3" max="16384" width="8.796875" style="14"/>
  </cols>
  <sheetData>
    <row r="1" spans="1:2" ht="15.6" customHeight="1" x14ac:dyDescent="0.3"/>
    <row r="2" spans="1:2" ht="15.6" customHeight="1" x14ac:dyDescent="0.3"/>
    <row r="3" spans="1:2" ht="15.6" customHeight="1" x14ac:dyDescent="0.3"/>
    <row r="4" spans="1:2" ht="15.6" customHeight="1" x14ac:dyDescent="0.3"/>
    <row r="5" spans="1:2" ht="15.6" customHeight="1" x14ac:dyDescent="0.3"/>
    <row r="6" spans="1:2" ht="15.6" customHeight="1" x14ac:dyDescent="0.3"/>
    <row r="7" spans="1:2" ht="15.6" customHeight="1" x14ac:dyDescent="0.3">
      <c r="B7" s="15" t="s">
        <v>41</v>
      </c>
    </row>
    <row r="8" spans="1:2" ht="15.6" customHeight="1" x14ac:dyDescent="0.3">
      <c r="B8" s="15"/>
    </row>
    <row r="9" spans="1:2" s="1" customFormat="1" ht="24" customHeight="1" x14ac:dyDescent="0.3">
      <c r="A9" s="156" t="s">
        <v>89</v>
      </c>
      <c r="B9" s="157"/>
    </row>
    <row r="10" spans="1:2" x14ac:dyDescent="0.3">
      <c r="A10" s="17"/>
      <c r="B10" s="18"/>
    </row>
    <row r="11" spans="1:2" x14ac:dyDescent="0.3">
      <c r="A11" s="154" t="s">
        <v>66</v>
      </c>
      <c r="B11" s="155"/>
    </row>
    <row r="12" spans="1:2" x14ac:dyDescent="0.3">
      <c r="A12" s="20"/>
      <c r="B12" s="19" t="s">
        <v>67</v>
      </c>
    </row>
    <row r="13" spans="1:2" x14ac:dyDescent="0.3">
      <c r="A13" s="20"/>
      <c r="B13" s="19" t="s">
        <v>68</v>
      </c>
    </row>
    <row r="14" spans="1:2" x14ac:dyDescent="0.3">
      <c r="A14" s="20"/>
      <c r="B14" s="19" t="s">
        <v>69</v>
      </c>
    </row>
    <row r="15" spans="1:2" x14ac:dyDescent="0.3">
      <c r="A15" s="20"/>
      <c r="B15" s="19"/>
    </row>
    <row r="16" spans="1:2" x14ac:dyDescent="0.3">
      <c r="A16" s="154" t="s">
        <v>70</v>
      </c>
      <c r="B16" s="155"/>
    </row>
    <row r="17" spans="1:2" x14ac:dyDescent="0.3">
      <c r="A17" s="20"/>
      <c r="B17" s="19" t="s">
        <v>80</v>
      </c>
    </row>
    <row r="18" spans="1:2" ht="27.6" x14ac:dyDescent="0.3">
      <c r="A18" s="20"/>
      <c r="B18" s="19" t="s">
        <v>81</v>
      </c>
    </row>
    <row r="19" spans="1:2" x14ac:dyDescent="0.3">
      <c r="A19" s="20"/>
      <c r="B19" s="19" t="s">
        <v>82</v>
      </c>
    </row>
    <row r="20" spans="1:2" x14ac:dyDescent="0.3">
      <c r="A20" s="20"/>
      <c r="B20" s="19" t="s">
        <v>83</v>
      </c>
    </row>
    <row r="21" spans="1:2" x14ac:dyDescent="0.3">
      <c r="A21" s="20"/>
      <c r="B21" s="19" t="s">
        <v>84</v>
      </c>
    </row>
    <row r="22" spans="1:2" x14ac:dyDescent="0.3">
      <c r="A22" s="20"/>
      <c r="B22" s="19" t="s">
        <v>85</v>
      </c>
    </row>
    <row r="23" spans="1:2" ht="27.6" x14ac:dyDescent="0.3">
      <c r="A23" s="20"/>
      <c r="B23" s="19" t="s">
        <v>86</v>
      </c>
    </row>
    <row r="24" spans="1:2" x14ac:dyDescent="0.3">
      <c r="A24" s="20"/>
      <c r="B24" s="19" t="s">
        <v>87</v>
      </c>
    </row>
    <row r="25" spans="1:2" ht="27.6" x14ac:dyDescent="0.3">
      <c r="A25" s="20"/>
      <c r="B25" s="19" t="s">
        <v>88</v>
      </c>
    </row>
    <row r="26" spans="1:2" ht="27.6" x14ac:dyDescent="0.3">
      <c r="A26" s="20"/>
      <c r="B26" s="19" t="s">
        <v>71</v>
      </c>
    </row>
    <row r="27" spans="1:2" x14ac:dyDescent="0.3">
      <c r="A27" s="20"/>
      <c r="B27" s="19" t="s">
        <v>72</v>
      </c>
    </row>
    <row r="28" spans="1:2" x14ac:dyDescent="0.3">
      <c r="A28" s="20"/>
      <c r="B28" s="19" t="s">
        <v>73</v>
      </c>
    </row>
    <row r="29" spans="1:2" x14ac:dyDescent="0.3">
      <c r="A29" s="20"/>
      <c r="B29" s="19" t="s">
        <v>74</v>
      </c>
    </row>
    <row r="30" spans="1:2" ht="27.6" x14ac:dyDescent="0.3">
      <c r="A30" s="20"/>
      <c r="B30" s="19" t="s">
        <v>75</v>
      </c>
    </row>
    <row r="31" spans="1:2" ht="27.6" x14ac:dyDescent="0.3">
      <c r="A31" s="20"/>
      <c r="B31" s="19" t="s">
        <v>76</v>
      </c>
    </row>
    <row r="32" spans="1:2" ht="27.6" x14ac:dyDescent="0.3">
      <c r="A32" s="20"/>
      <c r="B32" s="19" t="s">
        <v>77</v>
      </c>
    </row>
    <row r="33" spans="1:2" ht="27.6" x14ac:dyDescent="0.3">
      <c r="A33" s="20"/>
      <c r="B33" s="19" t="s">
        <v>78</v>
      </c>
    </row>
    <row r="34" spans="1:2" x14ac:dyDescent="0.3">
      <c r="A34" s="20"/>
      <c r="B34" s="19" t="s">
        <v>79</v>
      </c>
    </row>
  </sheetData>
  <mergeCells count="3">
    <mergeCell ref="A11:B11"/>
    <mergeCell ref="A16:B16"/>
    <mergeCell ref="A9:B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E7773-29EF-4F76-AB98-DB1CD57BE275}">
  <sheetPr published="0">
    <tabColor rgb="FF92D050"/>
  </sheetPr>
  <dimension ref="A1:B34"/>
  <sheetViews>
    <sheetView showGridLines="0" zoomScaleNormal="100" workbookViewId="0">
      <selection activeCell="A9" sqref="A9:XFD9"/>
    </sheetView>
  </sheetViews>
  <sheetFormatPr defaultColWidth="8.796875" defaultRowHeight="15.6" x14ac:dyDescent="0.3"/>
  <cols>
    <col min="1" max="1" width="1.69921875" style="14" customWidth="1"/>
    <col min="2" max="2" width="80.69921875" style="16" customWidth="1"/>
    <col min="3" max="16384" width="8.796875" style="14"/>
  </cols>
  <sheetData>
    <row r="1" spans="1:2" ht="15.6" customHeight="1" x14ac:dyDescent="0.3"/>
    <row r="2" spans="1:2" ht="15.6" customHeight="1" x14ac:dyDescent="0.3"/>
    <row r="3" spans="1:2" ht="15.6" customHeight="1" x14ac:dyDescent="0.3"/>
    <row r="4" spans="1:2" ht="15.6" customHeight="1" x14ac:dyDescent="0.3"/>
    <row r="5" spans="1:2" ht="15.6" customHeight="1" x14ac:dyDescent="0.3"/>
    <row r="6" spans="1:2" ht="15.6" customHeight="1" x14ac:dyDescent="0.3"/>
    <row r="7" spans="1:2" ht="15.6" customHeight="1" x14ac:dyDescent="0.3">
      <c r="B7" s="15" t="s">
        <v>41</v>
      </c>
    </row>
    <row r="8" spans="1:2" ht="15.6" customHeight="1" x14ac:dyDescent="0.3">
      <c r="B8" s="15"/>
    </row>
    <row r="9" spans="1:2" s="1" customFormat="1" ht="24" customHeight="1" x14ac:dyDescent="0.3">
      <c r="A9" s="156" t="s">
        <v>65</v>
      </c>
      <c r="B9" s="157"/>
    </row>
    <row r="10" spans="1:2" x14ac:dyDescent="0.3">
      <c r="A10" s="17"/>
      <c r="B10" s="18"/>
    </row>
    <row r="11" spans="1:2" x14ac:dyDescent="0.3">
      <c r="A11" s="158" t="s">
        <v>42</v>
      </c>
      <c r="B11" s="159"/>
    </row>
    <row r="12" spans="1:2" ht="27.6" x14ac:dyDescent="0.3">
      <c r="A12" s="17"/>
      <c r="B12" s="19" t="s">
        <v>43</v>
      </c>
    </row>
    <row r="13" spans="1:2" x14ac:dyDescent="0.3">
      <c r="A13" s="17"/>
      <c r="B13" s="19" t="s">
        <v>44</v>
      </c>
    </row>
    <row r="14" spans="1:2" x14ac:dyDescent="0.3">
      <c r="A14" s="17"/>
      <c r="B14" s="19" t="s">
        <v>45</v>
      </c>
    </row>
    <row r="15" spans="1:2" x14ac:dyDescent="0.3">
      <c r="A15" s="17"/>
      <c r="B15" s="19"/>
    </row>
    <row r="16" spans="1:2" x14ac:dyDescent="0.3">
      <c r="A16" s="154" t="s">
        <v>46</v>
      </c>
      <c r="B16" s="155"/>
    </row>
    <row r="17" spans="1:2" ht="27.6" x14ac:dyDescent="0.3">
      <c r="A17" s="17"/>
      <c r="B17" s="19" t="s">
        <v>47</v>
      </c>
    </row>
    <row r="18" spans="1:2" ht="27.6" x14ac:dyDescent="0.3">
      <c r="A18" s="17"/>
      <c r="B18" s="19" t="s">
        <v>48</v>
      </c>
    </row>
    <row r="19" spans="1:2" x14ac:dyDescent="0.3">
      <c r="A19" s="17"/>
      <c r="B19" s="19" t="s">
        <v>49</v>
      </c>
    </row>
    <row r="20" spans="1:2" x14ac:dyDescent="0.3">
      <c r="A20" s="17"/>
      <c r="B20" s="19" t="s">
        <v>50</v>
      </c>
    </row>
    <row r="21" spans="1:2" x14ac:dyDescent="0.3">
      <c r="A21" s="17"/>
      <c r="B21" s="19" t="s">
        <v>51</v>
      </c>
    </row>
    <row r="22" spans="1:2" ht="27.6" x14ac:dyDescent="0.3">
      <c r="A22" s="17"/>
      <c r="B22" s="19" t="s">
        <v>52</v>
      </c>
    </row>
    <row r="23" spans="1:2" ht="41.4" x14ac:dyDescent="0.3">
      <c r="A23" s="17"/>
      <c r="B23" s="19" t="s">
        <v>53</v>
      </c>
    </row>
    <row r="24" spans="1:2" x14ac:dyDescent="0.3">
      <c r="A24" s="17"/>
      <c r="B24" s="19" t="s">
        <v>54</v>
      </c>
    </row>
    <row r="25" spans="1:2" ht="27.6" x14ac:dyDescent="0.3">
      <c r="A25" s="17"/>
      <c r="B25" s="19" t="s">
        <v>55</v>
      </c>
    </row>
    <row r="26" spans="1:2" ht="27.6" x14ac:dyDescent="0.3">
      <c r="A26" s="17"/>
      <c r="B26" s="19" t="s">
        <v>56</v>
      </c>
    </row>
    <row r="27" spans="1:2" x14ac:dyDescent="0.3">
      <c r="A27" s="17"/>
      <c r="B27" s="19" t="s">
        <v>57</v>
      </c>
    </row>
    <row r="28" spans="1:2" ht="27.6" x14ac:dyDescent="0.3">
      <c r="A28" s="17"/>
      <c r="B28" s="19" t="s">
        <v>58</v>
      </c>
    </row>
    <row r="29" spans="1:2" x14ac:dyDescent="0.3">
      <c r="A29" s="17"/>
      <c r="B29" s="19" t="s">
        <v>59</v>
      </c>
    </row>
    <row r="30" spans="1:2" ht="27.6" x14ac:dyDescent="0.3">
      <c r="A30" s="17"/>
      <c r="B30" s="19" t="s">
        <v>60</v>
      </c>
    </row>
    <row r="31" spans="1:2" ht="27.6" x14ac:dyDescent="0.3">
      <c r="A31" s="17"/>
      <c r="B31" s="19" t="s">
        <v>61</v>
      </c>
    </row>
    <row r="32" spans="1:2" ht="27.6" x14ac:dyDescent="0.3">
      <c r="A32" s="17"/>
      <c r="B32" s="19" t="s">
        <v>62</v>
      </c>
    </row>
    <row r="33" spans="1:2" ht="27.6" x14ac:dyDescent="0.3">
      <c r="A33" s="17"/>
      <c r="B33" s="19" t="s">
        <v>63</v>
      </c>
    </row>
    <row r="34" spans="1:2" x14ac:dyDescent="0.3">
      <c r="A34" s="17"/>
      <c r="B34" s="19" t="s">
        <v>64</v>
      </c>
    </row>
  </sheetData>
  <mergeCells count="3">
    <mergeCell ref="A9:B9"/>
    <mergeCell ref="A11:B11"/>
    <mergeCell ref="A16:B1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C6B3E-F140-44BA-B692-27E3DF5F09B8}">
  <sheetPr>
    <tabColor rgb="FF92D050"/>
  </sheetPr>
  <dimension ref="A1:B15"/>
  <sheetViews>
    <sheetView showGridLines="0" zoomScaleNormal="100" workbookViewId="0">
      <selection activeCell="A8" sqref="A8:XFD8"/>
    </sheetView>
  </sheetViews>
  <sheetFormatPr defaultColWidth="8.796875" defaultRowHeight="14.4" x14ac:dyDescent="0.3"/>
  <cols>
    <col min="1" max="1" width="37.69921875" style="11" customWidth="1"/>
    <col min="2" max="2" width="10.69921875" style="1" customWidth="1"/>
    <col min="3" max="16384" width="8.796875" style="1"/>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row r="8" spans="1:2" ht="15.45" customHeight="1" x14ac:dyDescent="0.3"/>
    <row r="9" spans="1:2" ht="23.55" customHeight="1" x14ac:dyDescent="0.45">
      <c r="A9" s="160" t="s">
        <v>37</v>
      </c>
      <c r="B9" s="161"/>
    </row>
    <row r="10" spans="1:2" ht="49.95" customHeight="1" x14ac:dyDescent="0.4">
      <c r="A10" s="12"/>
    </row>
    <row r="11" spans="1:2" s="42" customFormat="1" x14ac:dyDescent="0.3">
      <c r="A11" s="47" t="s">
        <v>34</v>
      </c>
      <c r="B11" s="46" t="s">
        <v>35</v>
      </c>
    </row>
    <row r="12" spans="1:2" x14ac:dyDescent="0.3">
      <c r="A12" s="27" t="s">
        <v>36</v>
      </c>
      <c r="B12" s="28">
        <v>450000</v>
      </c>
    </row>
    <row r="13" spans="1:2" x14ac:dyDescent="0.3">
      <c r="A13" s="27" t="s">
        <v>36</v>
      </c>
      <c r="B13" s="28">
        <v>450000</v>
      </c>
    </row>
    <row r="14" spans="1:2" x14ac:dyDescent="0.3">
      <c r="A14" s="27" t="s">
        <v>36</v>
      </c>
      <c r="B14" s="28">
        <v>450000</v>
      </c>
    </row>
    <row r="15" spans="1:2" x14ac:dyDescent="0.3">
      <c r="A15" s="27" t="s">
        <v>36</v>
      </c>
      <c r="B15" s="28">
        <v>450000</v>
      </c>
    </row>
  </sheetData>
  <mergeCells count="1">
    <mergeCell ref="A9:B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5D99-1236-48E9-8D60-681630EE2B6B}">
  <sheetPr>
    <tabColor rgb="FF92D050"/>
  </sheetPr>
  <dimension ref="A1:B15"/>
  <sheetViews>
    <sheetView showGridLines="0" zoomScaleNormal="100" workbookViewId="0">
      <selection activeCell="A8" sqref="A8:XFD8"/>
    </sheetView>
  </sheetViews>
  <sheetFormatPr defaultColWidth="8.796875" defaultRowHeight="14.4" x14ac:dyDescent="0.3"/>
  <cols>
    <col min="1" max="1" width="37.69921875" style="11" customWidth="1"/>
    <col min="2" max="2" width="10.69921875" style="1" customWidth="1"/>
    <col min="3" max="16384" width="8.796875" style="1"/>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row r="8" spans="1:2" ht="15.45" customHeight="1" x14ac:dyDescent="0.3"/>
    <row r="9" spans="1:2" ht="23.55" customHeight="1" x14ac:dyDescent="0.45">
      <c r="A9" s="160" t="s">
        <v>38</v>
      </c>
      <c r="B9" s="161"/>
    </row>
    <row r="10" spans="1:2" ht="49.95" customHeight="1" x14ac:dyDescent="0.4">
      <c r="A10" s="12"/>
    </row>
    <row r="11" spans="1:2" s="42" customFormat="1" x14ac:dyDescent="0.3">
      <c r="A11" s="47" t="s">
        <v>39</v>
      </c>
      <c r="B11" s="46" t="s">
        <v>40</v>
      </c>
    </row>
    <row r="12" spans="1:2" x14ac:dyDescent="0.3">
      <c r="A12" s="27" t="s">
        <v>36</v>
      </c>
      <c r="B12" s="28">
        <v>450000</v>
      </c>
    </row>
    <row r="13" spans="1:2" x14ac:dyDescent="0.3">
      <c r="A13" s="27" t="s">
        <v>36</v>
      </c>
      <c r="B13" s="28">
        <v>450000</v>
      </c>
    </row>
    <row r="14" spans="1:2" x14ac:dyDescent="0.3">
      <c r="A14" s="27" t="s">
        <v>36</v>
      </c>
      <c r="B14" s="28">
        <v>450000</v>
      </c>
    </row>
    <row r="15" spans="1:2" x14ac:dyDescent="0.3">
      <c r="A15" s="27" t="s">
        <v>36</v>
      </c>
      <c r="B15" s="28">
        <v>450000</v>
      </c>
    </row>
  </sheetData>
  <mergeCells count="1">
    <mergeCell ref="A9:B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A28A8-E056-43DE-B26B-427D5F7E41F3}">
  <sheetPr>
    <tabColor rgb="FF92D050"/>
  </sheetPr>
  <dimension ref="A1:J67"/>
  <sheetViews>
    <sheetView showGridLines="0" zoomScale="85" zoomScaleNormal="85" workbookViewId="0">
      <pane xSplit="1" ySplit="2" topLeftCell="B39" activePane="bottomRight" state="frozen"/>
      <selection pane="topRight" activeCell="B1" sqref="B1"/>
      <selection pane="bottomLeft" activeCell="A3" sqref="A3"/>
      <selection pane="bottomRight" activeCell="A50" sqref="A50"/>
    </sheetView>
  </sheetViews>
  <sheetFormatPr defaultColWidth="8.19921875" defaultRowHeight="13.2" x14ac:dyDescent="0.25"/>
  <cols>
    <col min="1" max="1" width="50.796875" style="56" customWidth="1"/>
    <col min="2" max="5" width="30.69921875" style="56" customWidth="1"/>
    <col min="6" max="6" width="6.8984375" style="56" bestFit="1" customWidth="1"/>
    <col min="7" max="7" width="11.796875" style="56" bestFit="1" customWidth="1"/>
    <col min="8" max="8" width="8.59765625" style="57" bestFit="1" customWidth="1"/>
    <col min="9" max="9" width="19" style="56" bestFit="1" customWidth="1"/>
    <col min="10" max="10" width="44.19921875" style="56" bestFit="1" customWidth="1"/>
    <col min="11" max="11" width="9.5" style="56" bestFit="1" customWidth="1"/>
    <col min="12" max="13" width="8.09765625" style="56" customWidth="1"/>
    <col min="14" max="14" width="9.5" style="56" bestFit="1" customWidth="1"/>
    <col min="15" max="16" width="8.09765625" style="56" customWidth="1"/>
    <col min="17" max="17" width="9.5" style="56" bestFit="1" customWidth="1"/>
    <col min="18" max="19" width="8.09765625" style="56" customWidth="1"/>
    <col min="20" max="16384" width="8.19921875" style="56"/>
  </cols>
  <sheetData>
    <row r="1" spans="1:8" ht="113.25" customHeight="1" x14ac:dyDescent="0.25"/>
    <row r="2" spans="1:8" x14ac:dyDescent="0.25">
      <c r="A2" s="162" t="s">
        <v>101</v>
      </c>
      <c r="B2" s="163"/>
      <c r="C2" s="163"/>
      <c r="D2" s="163"/>
      <c r="E2" s="163"/>
      <c r="F2" s="164"/>
      <c r="H2" s="58"/>
    </row>
    <row r="3" spans="1:8" ht="13.8" thickBot="1" x14ac:dyDescent="0.3">
      <c r="A3" s="59" t="s">
        <v>34</v>
      </c>
      <c r="B3" s="147" t="s">
        <v>253</v>
      </c>
      <c r="C3" s="147" t="s">
        <v>254</v>
      </c>
      <c r="D3" s="147" t="s">
        <v>255</v>
      </c>
      <c r="E3" s="147" t="s">
        <v>256</v>
      </c>
      <c r="F3" s="60"/>
      <c r="H3" s="58"/>
    </row>
    <row r="4" spans="1:8" x14ac:dyDescent="0.25">
      <c r="A4" s="61" t="s">
        <v>102</v>
      </c>
      <c r="B4" s="62">
        <f>B49/B13</f>
        <v>164044.57961344987</v>
      </c>
      <c r="C4" s="62">
        <f t="shared" ref="C4:E4" si="0">C49/C13</f>
        <v>144000</v>
      </c>
      <c r="D4" s="62">
        <f t="shared" si="0"/>
        <v>168300</v>
      </c>
      <c r="E4" s="62">
        <f t="shared" si="0"/>
        <v>230000</v>
      </c>
      <c r="F4" s="63"/>
      <c r="H4" s="58"/>
    </row>
    <row r="5" spans="1:8" x14ac:dyDescent="0.25">
      <c r="A5" s="64"/>
      <c r="B5" s="65" t="s">
        <v>103</v>
      </c>
      <c r="C5" s="65" t="s">
        <v>104</v>
      </c>
      <c r="D5" s="65" t="s">
        <v>105</v>
      </c>
      <c r="E5" s="66" t="s">
        <v>106</v>
      </c>
      <c r="F5" s="67"/>
      <c r="H5" s="58"/>
    </row>
    <row r="6" spans="1:8" x14ac:dyDescent="0.25">
      <c r="A6" s="64" t="s">
        <v>107</v>
      </c>
      <c r="B6" s="48">
        <v>0</v>
      </c>
      <c r="C6" s="48">
        <v>0</v>
      </c>
      <c r="D6" s="48">
        <v>0</v>
      </c>
      <c r="E6" s="49">
        <v>0</v>
      </c>
      <c r="F6" s="68"/>
      <c r="H6" s="58"/>
    </row>
    <row r="7" spans="1:8" x14ac:dyDescent="0.25">
      <c r="A7" s="69" t="s">
        <v>108</v>
      </c>
      <c r="B7" s="50">
        <v>0</v>
      </c>
      <c r="C7" s="50">
        <v>0</v>
      </c>
      <c r="D7" s="50">
        <v>0</v>
      </c>
      <c r="E7" s="51">
        <v>0</v>
      </c>
      <c r="F7" s="68"/>
      <c r="H7" s="58"/>
    </row>
    <row r="8" spans="1:8" x14ac:dyDescent="0.25">
      <c r="A8" s="69" t="s">
        <v>109</v>
      </c>
      <c r="B8" s="50">
        <v>5</v>
      </c>
      <c r="C8" s="50">
        <v>4</v>
      </c>
      <c r="D8" s="50">
        <v>0</v>
      </c>
      <c r="E8" s="51">
        <v>4</v>
      </c>
      <c r="F8" s="68"/>
    </row>
    <row r="9" spans="1:8" x14ac:dyDescent="0.25">
      <c r="A9" s="69" t="s">
        <v>110</v>
      </c>
      <c r="B9" s="50">
        <v>0</v>
      </c>
      <c r="C9" s="50">
        <v>1</v>
      </c>
      <c r="D9" s="50">
        <v>2</v>
      </c>
      <c r="E9" s="51">
        <v>1</v>
      </c>
      <c r="F9" s="68"/>
    </row>
    <row r="10" spans="1:8" x14ac:dyDescent="0.25">
      <c r="A10" s="69" t="s">
        <v>111</v>
      </c>
      <c r="B10" s="50">
        <v>0</v>
      </c>
      <c r="C10" s="50">
        <v>0</v>
      </c>
      <c r="D10" s="50">
        <v>2</v>
      </c>
      <c r="E10" s="51">
        <v>0</v>
      </c>
      <c r="F10" s="68"/>
    </row>
    <row r="11" spans="1:8" x14ac:dyDescent="0.25">
      <c r="A11" s="69" t="s">
        <v>112</v>
      </c>
      <c r="B11" s="50">
        <v>0</v>
      </c>
      <c r="C11" s="50">
        <v>0</v>
      </c>
      <c r="D11" s="50">
        <v>1</v>
      </c>
      <c r="E11" s="51">
        <v>0</v>
      </c>
      <c r="F11" s="68"/>
    </row>
    <row r="12" spans="1:8" x14ac:dyDescent="0.25">
      <c r="A12" s="69" t="s">
        <v>113</v>
      </c>
      <c r="B12" s="50">
        <v>0</v>
      </c>
      <c r="C12" s="50">
        <v>0</v>
      </c>
      <c r="D12" s="50">
        <v>0</v>
      </c>
      <c r="E12" s="51">
        <v>0</v>
      </c>
      <c r="F12" s="68"/>
    </row>
    <row r="13" spans="1:8" ht="13.8" thickBot="1" x14ac:dyDescent="0.3">
      <c r="A13" s="70" t="s">
        <v>114</v>
      </c>
      <c r="B13" s="71">
        <f>SUM(B6:B12)</f>
        <v>5</v>
      </c>
      <c r="C13" s="71">
        <f>SUM(C6:C12)</f>
        <v>5</v>
      </c>
      <c r="D13" s="71">
        <f>SUM(D6:D12)</f>
        <v>5</v>
      </c>
      <c r="E13" s="72">
        <f>SUM(E6:E12)</f>
        <v>5</v>
      </c>
      <c r="F13" s="73"/>
    </row>
    <row r="14" spans="1:8" ht="13.8" thickBot="1" x14ac:dyDescent="0.3"/>
    <row r="15" spans="1:8" ht="13.8" thickBot="1" x14ac:dyDescent="0.3">
      <c r="A15" s="145" t="s">
        <v>115</v>
      </c>
      <c r="B15" s="75"/>
      <c r="C15" s="76"/>
      <c r="D15" s="77"/>
      <c r="E15" s="77"/>
      <c r="F15" s="78"/>
    </row>
    <row r="16" spans="1:8" x14ac:dyDescent="0.25">
      <c r="A16" s="69" t="s">
        <v>116</v>
      </c>
      <c r="B16" s="52">
        <v>43320</v>
      </c>
      <c r="C16" s="52">
        <v>41040</v>
      </c>
      <c r="D16" s="52">
        <v>37800</v>
      </c>
      <c r="E16" s="53">
        <v>58008</v>
      </c>
      <c r="F16" s="79"/>
    </row>
    <row r="17" spans="1:6" x14ac:dyDescent="0.25">
      <c r="A17" s="69" t="s">
        <v>117</v>
      </c>
      <c r="B17" s="52">
        <v>0</v>
      </c>
      <c r="C17" s="52">
        <v>0</v>
      </c>
      <c r="D17" s="52">
        <v>0</v>
      </c>
      <c r="E17" s="53">
        <v>0</v>
      </c>
      <c r="F17" s="80"/>
    </row>
    <row r="18" spans="1:6" x14ac:dyDescent="0.25">
      <c r="A18" s="69" t="s">
        <v>118</v>
      </c>
      <c r="B18" s="52">
        <v>0</v>
      </c>
      <c r="C18" s="52">
        <v>0</v>
      </c>
      <c r="D18" s="52">
        <v>0</v>
      </c>
      <c r="E18" s="53">
        <v>0</v>
      </c>
      <c r="F18" s="80"/>
    </row>
    <row r="19" spans="1:6" x14ac:dyDescent="0.25">
      <c r="A19" s="69" t="s">
        <v>119</v>
      </c>
      <c r="B19" s="52">
        <v>0</v>
      </c>
      <c r="C19" s="52">
        <v>0</v>
      </c>
      <c r="D19" s="52">
        <v>0</v>
      </c>
      <c r="E19" s="53">
        <v>0</v>
      </c>
      <c r="F19" s="80"/>
    </row>
    <row r="20" spans="1:6" x14ac:dyDescent="0.25">
      <c r="A20" s="81" t="s">
        <v>120</v>
      </c>
      <c r="B20" s="82">
        <f>SUM(B16:B19)</f>
        <v>43320</v>
      </c>
      <c r="C20" s="82">
        <f t="shared" ref="C20:E20" si="1">SUM(C16:C19)</f>
        <v>41040</v>
      </c>
      <c r="D20" s="82">
        <f t="shared" si="1"/>
        <v>37800</v>
      </c>
      <c r="E20" s="83">
        <f t="shared" si="1"/>
        <v>58008</v>
      </c>
      <c r="F20" s="84"/>
    </row>
    <row r="21" spans="1:6" x14ac:dyDescent="0.25">
      <c r="A21" s="69" t="s">
        <v>121</v>
      </c>
      <c r="B21" s="85">
        <f>-B20*$F21</f>
        <v>-1516.2</v>
      </c>
      <c r="C21" s="85">
        <f t="shared" ref="C21:E21" si="2">-C20*$F21</f>
        <v>-1436.4</v>
      </c>
      <c r="D21" s="85">
        <f t="shared" si="2"/>
        <v>-1323.0000000000002</v>
      </c>
      <c r="E21" s="86">
        <f t="shared" si="2"/>
        <v>-2030.2800000000002</v>
      </c>
      <c r="F21" s="87">
        <v>3.5000000000000003E-2</v>
      </c>
    </row>
    <row r="22" spans="1:6" ht="13.8" thickBot="1" x14ac:dyDescent="0.3">
      <c r="A22" s="88" t="s">
        <v>122</v>
      </c>
      <c r="B22" s="89">
        <f>SUM(B20:B21)</f>
        <v>41803.800000000003</v>
      </c>
      <c r="C22" s="89">
        <f t="shared" ref="C22:E22" si="3">SUM(C20:C21)</f>
        <v>39603.599999999999</v>
      </c>
      <c r="D22" s="89">
        <f t="shared" si="3"/>
        <v>36477</v>
      </c>
      <c r="E22" s="90">
        <f t="shared" si="3"/>
        <v>55977.72</v>
      </c>
      <c r="F22" s="91"/>
    </row>
    <row r="23" spans="1:6" ht="13.8" thickBot="1" x14ac:dyDescent="0.3">
      <c r="A23" s="92"/>
      <c r="B23" s="93"/>
      <c r="C23" s="94"/>
      <c r="D23" s="94"/>
      <c r="E23" s="94"/>
      <c r="F23" s="94"/>
    </row>
    <row r="24" spans="1:6" x14ac:dyDescent="0.25">
      <c r="A24" s="145" t="s">
        <v>123</v>
      </c>
      <c r="B24" s="95"/>
      <c r="C24" s="96"/>
      <c r="D24" s="97"/>
      <c r="E24" s="98"/>
      <c r="F24" s="99"/>
    </row>
    <row r="25" spans="1:6" x14ac:dyDescent="0.25">
      <c r="A25" s="69" t="s">
        <v>124</v>
      </c>
      <c r="B25" s="54">
        <v>5413</v>
      </c>
      <c r="C25" s="54">
        <v>3426</v>
      </c>
      <c r="D25" s="54">
        <v>5357</v>
      </c>
      <c r="E25" s="55">
        <v>5745</v>
      </c>
      <c r="F25" s="80"/>
    </row>
    <row r="26" spans="1:6" x14ac:dyDescent="0.25">
      <c r="A26" s="69" t="s">
        <v>125</v>
      </c>
      <c r="B26" s="54">
        <v>631</v>
      </c>
      <c r="C26" s="54">
        <v>416</v>
      </c>
      <c r="D26" s="54">
        <v>660</v>
      </c>
      <c r="E26" s="55">
        <v>710</v>
      </c>
      <c r="F26" s="80"/>
    </row>
    <row r="27" spans="1:6" x14ac:dyDescent="0.25">
      <c r="A27" s="69" t="s">
        <v>126</v>
      </c>
      <c r="B27" s="54">
        <v>0</v>
      </c>
      <c r="C27" s="54">
        <v>0</v>
      </c>
      <c r="D27" s="54">
        <v>0</v>
      </c>
      <c r="E27" s="55">
        <v>0</v>
      </c>
      <c r="F27" s="80"/>
    </row>
    <row r="28" spans="1:6" x14ac:dyDescent="0.25">
      <c r="A28" s="69" t="s">
        <v>127</v>
      </c>
      <c r="B28" s="54">
        <v>0</v>
      </c>
      <c r="C28" s="54">
        <v>0</v>
      </c>
      <c r="D28" s="54">
        <v>0</v>
      </c>
      <c r="E28" s="55">
        <v>0</v>
      </c>
      <c r="F28" s="80"/>
    </row>
    <row r="29" spans="1:6" x14ac:dyDescent="0.25">
      <c r="A29" s="64" t="s">
        <v>128</v>
      </c>
      <c r="B29" s="54">
        <v>0</v>
      </c>
      <c r="C29" s="54">
        <v>0</v>
      </c>
      <c r="D29" s="54">
        <v>0</v>
      </c>
      <c r="E29" s="55">
        <v>0</v>
      </c>
      <c r="F29" s="100"/>
    </row>
    <row r="30" spans="1:6" x14ac:dyDescent="0.25">
      <c r="A30" s="64" t="s">
        <v>129</v>
      </c>
      <c r="B30" s="54">
        <v>0</v>
      </c>
      <c r="C30" s="54">
        <v>0</v>
      </c>
      <c r="D30" s="54">
        <v>0</v>
      </c>
      <c r="E30" s="55">
        <v>0</v>
      </c>
      <c r="F30" s="80"/>
    </row>
    <row r="31" spans="1:6" x14ac:dyDescent="0.25">
      <c r="A31" s="64" t="s">
        <v>130</v>
      </c>
      <c r="B31" s="52">
        <f t="shared" ref="B31:C31" si="4">$F31*B13</f>
        <v>3000</v>
      </c>
      <c r="C31" s="52">
        <f t="shared" si="4"/>
        <v>3000</v>
      </c>
      <c r="D31" s="52">
        <v>3000</v>
      </c>
      <c r="E31" s="53">
        <v>3000</v>
      </c>
      <c r="F31" s="80">
        <v>600</v>
      </c>
    </row>
    <row r="32" spans="1:6" x14ac:dyDescent="0.25">
      <c r="A32" s="64" t="s">
        <v>131</v>
      </c>
      <c r="B32" s="85">
        <f>$F32*B13</f>
        <v>1650</v>
      </c>
      <c r="C32" s="85">
        <f>$F32*C13</f>
        <v>1650</v>
      </c>
      <c r="D32" s="85">
        <f t="shared" ref="D32:E32" si="5">$F32*D13</f>
        <v>1650</v>
      </c>
      <c r="E32" s="86">
        <f t="shared" si="5"/>
        <v>1650</v>
      </c>
      <c r="F32" s="80">
        <v>330</v>
      </c>
    </row>
    <row r="33" spans="1:10" x14ac:dyDescent="0.25">
      <c r="A33" s="64" t="s">
        <v>132</v>
      </c>
      <c r="B33" s="54">
        <v>0</v>
      </c>
      <c r="C33" s="54">
        <v>0</v>
      </c>
      <c r="D33" s="54"/>
      <c r="E33" s="55">
        <v>0</v>
      </c>
      <c r="F33" s="100"/>
    </row>
    <row r="34" spans="1:10" x14ac:dyDescent="0.25">
      <c r="A34" s="64" t="s">
        <v>133</v>
      </c>
      <c r="B34" s="85">
        <f>B13*$F34</f>
        <v>2750</v>
      </c>
      <c r="C34" s="85">
        <f t="shared" ref="C34:E34" si="6">C13*$F34</f>
        <v>2750</v>
      </c>
      <c r="D34" s="85">
        <f t="shared" si="6"/>
        <v>2750</v>
      </c>
      <c r="E34" s="86">
        <f t="shared" si="6"/>
        <v>2750</v>
      </c>
      <c r="F34" s="80">
        <v>550</v>
      </c>
    </row>
    <row r="35" spans="1:10" x14ac:dyDescent="0.25">
      <c r="A35" s="64" t="s">
        <v>134</v>
      </c>
      <c r="B35" s="54">
        <v>0</v>
      </c>
      <c r="C35" s="54">
        <v>0</v>
      </c>
      <c r="D35" s="54">
        <v>0</v>
      </c>
      <c r="E35" s="55">
        <v>0</v>
      </c>
      <c r="F35" s="100"/>
    </row>
    <row r="36" spans="1:10" x14ac:dyDescent="0.25">
      <c r="A36" s="64" t="s">
        <v>135</v>
      </c>
      <c r="B36" s="85">
        <f>B20*$F36</f>
        <v>2166</v>
      </c>
      <c r="C36" s="85">
        <f t="shared" ref="C36:E36" si="7">C20*$F36</f>
        <v>2052</v>
      </c>
      <c r="D36" s="85">
        <f t="shared" si="7"/>
        <v>1890</v>
      </c>
      <c r="E36" s="86">
        <f t="shared" si="7"/>
        <v>2900.4</v>
      </c>
      <c r="F36" s="101">
        <v>0.05</v>
      </c>
    </row>
    <row r="37" spans="1:10" x14ac:dyDescent="0.25">
      <c r="A37" s="64" t="s">
        <v>136</v>
      </c>
      <c r="B37" s="54">
        <v>0</v>
      </c>
      <c r="C37" s="54">
        <v>0</v>
      </c>
      <c r="D37" s="54">
        <v>0</v>
      </c>
      <c r="E37" s="55">
        <v>0</v>
      </c>
      <c r="F37" s="80"/>
    </row>
    <row r="38" spans="1:10" x14ac:dyDescent="0.25">
      <c r="A38" s="64" t="s">
        <v>137</v>
      </c>
      <c r="B38" s="54">
        <v>0</v>
      </c>
      <c r="C38" s="54">
        <v>0</v>
      </c>
      <c r="D38" s="54">
        <v>0</v>
      </c>
      <c r="E38" s="55">
        <v>0</v>
      </c>
      <c r="F38" s="80"/>
    </row>
    <row r="39" spans="1:10" x14ac:dyDescent="0.25">
      <c r="A39" s="64" t="s">
        <v>138</v>
      </c>
      <c r="B39" s="54">
        <v>0</v>
      </c>
      <c r="C39" s="54">
        <v>0</v>
      </c>
      <c r="D39" s="54">
        <v>0</v>
      </c>
      <c r="E39" s="55">
        <v>0</v>
      </c>
      <c r="F39" s="80"/>
    </row>
    <row r="40" spans="1:10" x14ac:dyDescent="0.25">
      <c r="A40" s="64" t="s">
        <v>139</v>
      </c>
      <c r="B40" s="54">
        <v>0</v>
      </c>
      <c r="C40" s="54">
        <v>0</v>
      </c>
      <c r="D40" s="54">
        <v>0</v>
      </c>
      <c r="E40" s="55">
        <v>0</v>
      </c>
      <c r="F40" s="80">
        <v>150</v>
      </c>
    </row>
    <row r="41" spans="1:10" x14ac:dyDescent="0.25">
      <c r="A41" s="64" t="s">
        <v>140</v>
      </c>
      <c r="B41" s="54">
        <v>0</v>
      </c>
      <c r="C41" s="54">
        <v>0</v>
      </c>
      <c r="D41" s="54">
        <v>0</v>
      </c>
      <c r="E41" s="55">
        <v>0</v>
      </c>
      <c r="F41" s="100"/>
    </row>
    <row r="42" spans="1:10" x14ac:dyDescent="0.25">
      <c r="A42" s="64" t="s">
        <v>141</v>
      </c>
      <c r="B42" s="54">
        <v>0</v>
      </c>
      <c r="C42" s="54">
        <v>0</v>
      </c>
      <c r="D42" s="54">
        <v>0</v>
      </c>
      <c r="E42" s="55">
        <v>0</v>
      </c>
      <c r="F42" s="100"/>
    </row>
    <row r="43" spans="1:10" x14ac:dyDescent="0.25">
      <c r="A43" s="64" t="s">
        <v>142</v>
      </c>
      <c r="B43" s="54">
        <v>0</v>
      </c>
      <c r="C43" s="54">
        <v>0</v>
      </c>
      <c r="D43" s="54">
        <v>0</v>
      </c>
      <c r="E43" s="55">
        <v>0</v>
      </c>
      <c r="F43" s="100"/>
    </row>
    <row r="44" spans="1:10" ht="13.8" thickBot="1" x14ac:dyDescent="0.3">
      <c r="A44" s="88" t="s">
        <v>143</v>
      </c>
      <c r="B44" s="89">
        <f>SUM(B25:B43)</f>
        <v>15610</v>
      </c>
      <c r="C44" s="89">
        <f>SUM(C25:C43)</f>
        <v>13294</v>
      </c>
      <c r="D44" s="89">
        <f>SUM(D25:D43)</f>
        <v>15307</v>
      </c>
      <c r="E44" s="90">
        <f>SUM(E25:E43)</f>
        <v>16755.400000000001</v>
      </c>
      <c r="F44" s="73"/>
    </row>
    <row r="45" spans="1:10" ht="13.8" thickBot="1" x14ac:dyDescent="0.3">
      <c r="A45" s="102"/>
      <c r="B45" s="103"/>
      <c r="C45" s="104"/>
      <c r="D45" s="105"/>
      <c r="H45" s="56"/>
    </row>
    <row r="46" spans="1:10" ht="15.75" customHeight="1" thickBot="1" x14ac:dyDescent="0.3">
      <c r="A46" s="145" t="s">
        <v>144</v>
      </c>
      <c r="B46" s="106"/>
      <c r="C46" s="106"/>
      <c r="D46" s="106"/>
      <c r="E46" s="107"/>
      <c r="F46" s="107"/>
      <c r="H46" s="165" t="s">
        <v>145</v>
      </c>
      <c r="I46" s="166"/>
      <c r="J46" s="167"/>
    </row>
    <row r="47" spans="1:10" x14ac:dyDescent="0.25">
      <c r="A47" s="108" t="s">
        <v>146</v>
      </c>
      <c r="B47" s="109">
        <f>B22-B44</f>
        <v>26193.800000000003</v>
      </c>
      <c r="C47" s="110">
        <f t="shared" ref="C47:E47" si="8">C22-C44</f>
        <v>26309.599999999999</v>
      </c>
      <c r="D47" s="110">
        <f t="shared" si="8"/>
        <v>21170</v>
      </c>
      <c r="E47" s="110">
        <f t="shared" si="8"/>
        <v>39222.32</v>
      </c>
      <c r="F47" s="111"/>
      <c r="G47" s="112"/>
      <c r="H47" s="113">
        <f>IF(C13&gt;6,1.3,1.1)</f>
        <v>1.1000000000000001</v>
      </c>
      <c r="I47" s="114" t="s">
        <v>147</v>
      </c>
      <c r="J47" s="115"/>
    </row>
    <row r="48" spans="1:10" x14ac:dyDescent="0.25">
      <c r="A48" s="108" t="s">
        <v>148</v>
      </c>
      <c r="B48" s="116">
        <f>AVERAGE(C48:E48)</f>
        <v>3.1934977750221742E-2</v>
      </c>
      <c r="C48" s="117">
        <f t="shared" ref="C48:E48" si="9">C47/C49</f>
        <v>3.6541111111111108E-2</v>
      </c>
      <c r="D48" s="117">
        <f t="shared" si="9"/>
        <v>2.5157456922162806E-2</v>
      </c>
      <c r="E48" s="117">
        <f t="shared" si="9"/>
        <v>3.4106365217391306E-2</v>
      </c>
      <c r="F48" s="100"/>
      <c r="H48" s="118">
        <f>IF(B4&lt;1090,1.1,1.3)</f>
        <v>1.3</v>
      </c>
      <c r="I48" s="119" t="s">
        <v>149</v>
      </c>
      <c r="J48" s="120"/>
    </row>
    <row r="49" spans="1:10" ht="15.6" x14ac:dyDescent="0.3">
      <c r="A49" s="146" t="s">
        <v>257</v>
      </c>
      <c r="B49" s="122">
        <f>B47/B48</f>
        <v>820222.89806724933</v>
      </c>
      <c r="C49" s="148">
        <v>720000</v>
      </c>
      <c r="D49" s="148">
        <v>841500</v>
      </c>
      <c r="E49" s="148">
        <v>1150000</v>
      </c>
      <c r="F49" s="100"/>
      <c r="H49" s="118">
        <f>IF(AND(D16=1.3,H47=1.3),1.3,1.1)</f>
        <v>1.1000000000000001</v>
      </c>
      <c r="I49" s="119" t="s">
        <v>150</v>
      </c>
      <c r="J49" s="120"/>
    </row>
    <row r="50" spans="1:10" x14ac:dyDescent="0.25">
      <c r="A50" s="108" t="s">
        <v>151</v>
      </c>
      <c r="B50" s="101">
        <f>B47/B51</f>
        <v>6.3067959069819671E-2</v>
      </c>
      <c r="H50" s="118"/>
      <c r="I50" s="119"/>
      <c r="J50" s="120"/>
    </row>
    <row r="51" spans="1:10" ht="15.6" x14ac:dyDescent="0.3">
      <c r="A51" s="146" t="s">
        <v>152</v>
      </c>
      <c r="B51" s="123">
        <f>I63/(1-B54)</f>
        <v>415326.58399492584</v>
      </c>
      <c r="H51" s="118"/>
      <c r="I51" s="119" t="s">
        <v>153</v>
      </c>
      <c r="J51" s="120"/>
    </row>
    <row r="52" spans="1:10" x14ac:dyDescent="0.25">
      <c r="A52" s="108" t="s">
        <v>154</v>
      </c>
      <c r="B52" s="124">
        <f>IF(H49=H48,1.1,H47)</f>
        <v>1.1000000000000001</v>
      </c>
      <c r="H52" s="125">
        <v>2.5000000000000001E-2</v>
      </c>
      <c r="I52" s="119" t="s">
        <v>155</v>
      </c>
      <c r="J52" s="120"/>
    </row>
    <row r="53" spans="1:10" x14ac:dyDescent="0.25">
      <c r="A53" s="108" t="s">
        <v>156</v>
      </c>
      <c r="B53" s="126">
        <f>IF($H48=1.1,45,30)</f>
        <v>30</v>
      </c>
      <c r="H53" s="125">
        <v>3.5000000000000003E-2</v>
      </c>
      <c r="I53" s="119" t="s">
        <v>157</v>
      </c>
      <c r="J53" s="120"/>
    </row>
    <row r="54" spans="1:10" x14ac:dyDescent="0.25">
      <c r="A54" s="108" t="s">
        <v>158</v>
      </c>
      <c r="B54" s="127">
        <f>IF($H48=1.1,5%,15%)</f>
        <v>0.15</v>
      </c>
      <c r="H54" s="125">
        <v>4.4999999999999998E-2</v>
      </c>
      <c r="I54" s="119" t="s">
        <v>159</v>
      </c>
      <c r="J54" s="120"/>
    </row>
    <row r="55" spans="1:10" x14ac:dyDescent="0.25">
      <c r="A55" s="108" t="s">
        <v>160</v>
      </c>
      <c r="B55" s="149">
        <v>5.45E-2</v>
      </c>
      <c r="H55" s="125">
        <v>0.02</v>
      </c>
      <c r="I55" s="119" t="s">
        <v>161</v>
      </c>
      <c r="J55" s="120"/>
    </row>
    <row r="56" spans="1:10" x14ac:dyDescent="0.25">
      <c r="A56" s="108" t="s">
        <v>153</v>
      </c>
      <c r="B56" s="128">
        <f>IF(B54=5%,$H55,IF(B54=15%,$H54,IF(B54=20%,$H53,IF(B54=25%,$H52,0%))))</f>
        <v>4.4999999999999998E-2</v>
      </c>
      <c r="H56" s="118"/>
      <c r="I56" s="129"/>
      <c r="J56" s="120"/>
    </row>
    <row r="57" spans="1:10" x14ac:dyDescent="0.25">
      <c r="A57" s="121" t="s">
        <v>162</v>
      </c>
      <c r="B57" s="130">
        <f>B49-$I63</f>
        <v>467195.30167156237</v>
      </c>
      <c r="H57" s="131">
        <f t="shared" ref="H57:H62" si="10">IF(I57&gt;0,I57,0)</f>
        <v>264</v>
      </c>
      <c r="I57" s="132">
        <f>IF(($B$49&gt;52800),((52800-0)*(0.005)),(($B$49-0)*(0.005)))</f>
        <v>264</v>
      </c>
      <c r="J57" s="120" t="s">
        <v>163</v>
      </c>
    </row>
    <row r="58" spans="1:10" x14ac:dyDescent="0.25">
      <c r="A58" s="108" t="s">
        <v>164</v>
      </c>
      <c r="B58" s="133">
        <f>SUM(H57:H62)</f>
        <v>4645.8987599238881</v>
      </c>
      <c r="H58" s="131">
        <f t="shared" si="10"/>
        <v>2112</v>
      </c>
      <c r="I58" s="132">
        <f>IF(($B$49&gt;264000),((264000-52800)*(0.01)),(($B$49-52800)*(0.01)))</f>
        <v>2112</v>
      </c>
      <c r="J58" s="120" t="s">
        <v>165</v>
      </c>
    </row>
    <row r="59" spans="1:10" x14ac:dyDescent="0.25">
      <c r="A59" s="108" t="s">
        <v>166</v>
      </c>
      <c r="B59" s="134">
        <f>150*(SUM(B13))</f>
        <v>750</v>
      </c>
      <c r="H59" s="131">
        <f t="shared" si="10"/>
        <v>2269.8987599238876</v>
      </c>
      <c r="I59" s="132">
        <f>IF((B51&gt;527900),((527900-264000)*(0.015)),((B51-264000)*(0.015)))</f>
        <v>2269.8987599238876</v>
      </c>
      <c r="J59" s="120" t="s">
        <v>167</v>
      </c>
    </row>
    <row r="60" spans="1:10" x14ac:dyDescent="0.25">
      <c r="A60" s="108" t="s">
        <v>168</v>
      </c>
      <c r="B60" s="134">
        <v>2000</v>
      </c>
      <c r="H60" s="131">
        <f t="shared" si="10"/>
        <v>0</v>
      </c>
      <c r="I60" s="132">
        <f>IF((B51&gt;1055800),((1055800-527900)*(0.02)),((B51-527900)*(0.02)))</f>
        <v>-2251.4683201014832</v>
      </c>
      <c r="J60" s="120" t="s">
        <v>169</v>
      </c>
    </row>
    <row r="61" spans="1:10" x14ac:dyDescent="0.25">
      <c r="A61" s="108" t="s">
        <v>170</v>
      </c>
      <c r="B61" s="134">
        <v>2500</v>
      </c>
      <c r="H61" s="131">
        <f t="shared" si="10"/>
        <v>0</v>
      </c>
      <c r="I61" s="132">
        <f>((B51-1055800)*(0.025))</f>
        <v>-16011.835400126854</v>
      </c>
      <c r="J61" s="120" t="s">
        <v>171</v>
      </c>
    </row>
    <row r="62" spans="1:10" x14ac:dyDescent="0.25">
      <c r="A62" s="108" t="s">
        <v>172</v>
      </c>
      <c r="B62" s="134">
        <v>4200</v>
      </c>
      <c r="H62" s="131">
        <f t="shared" si="10"/>
        <v>0</v>
      </c>
      <c r="I62" s="135">
        <f>-B47/B52</f>
        <v>-23812.545454545456</v>
      </c>
      <c r="J62" s="120" t="s">
        <v>173</v>
      </c>
    </row>
    <row r="63" spans="1:10" ht="15.6" x14ac:dyDescent="0.3">
      <c r="A63" s="146" t="s">
        <v>174</v>
      </c>
      <c r="B63" s="136">
        <f>SUM(B57:B62)</f>
        <v>481291.20043148624</v>
      </c>
      <c r="H63" s="118"/>
      <c r="I63" s="135">
        <f>PV(B55/12,B53*12,I62/12,0,1)</f>
        <v>353027.59639568697</v>
      </c>
      <c r="J63" s="137" t="s">
        <v>175</v>
      </c>
    </row>
    <row r="64" spans="1:10" ht="15.6" x14ac:dyDescent="0.3">
      <c r="A64" s="146" t="s">
        <v>176</v>
      </c>
      <c r="B64" s="138">
        <f>B63/B49</f>
        <v>0.58678098546820334</v>
      </c>
      <c r="H64" s="139"/>
      <c r="I64" s="140">
        <f>B49*(1-B54)</f>
        <v>697189.46335716196</v>
      </c>
      <c r="J64" s="141" t="s">
        <v>177</v>
      </c>
    </row>
    <row r="65" spans="1:2" x14ac:dyDescent="0.25">
      <c r="A65" s="108" t="s">
        <v>178</v>
      </c>
      <c r="B65" s="142">
        <f>IF(I64&lt;I63,I64,I63)</f>
        <v>353027.59639568697</v>
      </c>
    </row>
    <row r="66" spans="1:2" x14ac:dyDescent="0.25">
      <c r="A66" s="108" t="s">
        <v>179</v>
      </c>
      <c r="B66" s="142">
        <f>IF(I64&lt;I63,I64,I63)*(1+B56)</f>
        <v>368913.83823349286</v>
      </c>
    </row>
    <row r="67" spans="1:2" ht="13.8" thickBot="1" x14ac:dyDescent="0.3">
      <c r="A67" s="143" t="s">
        <v>180</v>
      </c>
      <c r="B67" s="144">
        <f>PMT(B55/12,B53*12,B66,0,1)*12</f>
        <v>-24884.110000000052</v>
      </c>
    </row>
  </sheetData>
  <mergeCells count="2">
    <mergeCell ref="A2:F2"/>
    <mergeCell ref="H46:J46"/>
  </mergeCells>
  <pageMargins left="0.25" right="0.25" top="0.75" bottom="0.75" header="0.3" footer="0.3"/>
  <pageSetup scale="50" fitToHeight="0" orientation="landscape" r:id="rId1"/>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7FC6F-5071-4B9A-9AA6-3C09C2D6D22D}">
  <sheetPr>
    <tabColor rgb="FF92D050"/>
  </sheetPr>
  <dimension ref="A1:J67"/>
  <sheetViews>
    <sheetView showGridLines="0" tabSelected="1" topLeftCell="A13" zoomScaleNormal="100" workbookViewId="0">
      <selection activeCell="A50" sqref="A50"/>
    </sheetView>
  </sheetViews>
  <sheetFormatPr defaultColWidth="8.19921875" defaultRowHeight="13.2" x14ac:dyDescent="0.25"/>
  <cols>
    <col min="1" max="1" width="50.796875" style="56" bestFit="1" customWidth="1"/>
    <col min="2" max="5" width="30.69921875" style="56" customWidth="1"/>
    <col min="6" max="6" width="6.8984375" style="56" bestFit="1" customWidth="1"/>
    <col min="7" max="7" width="11.796875" style="56" bestFit="1" customWidth="1"/>
    <col min="8" max="8" width="8.59765625" style="57" bestFit="1" customWidth="1"/>
    <col min="9" max="9" width="16.5" style="56" bestFit="1" customWidth="1"/>
    <col min="10" max="10" width="49.5" style="56" bestFit="1" customWidth="1"/>
    <col min="11" max="11" width="9.5" style="56" bestFit="1" customWidth="1"/>
    <col min="12" max="13" width="8.09765625" style="56" customWidth="1"/>
    <col min="14" max="14" width="9.5" style="56" bestFit="1" customWidth="1"/>
    <col min="15" max="16" width="8.09765625" style="56" customWidth="1"/>
    <col min="17" max="17" width="9.5" style="56" bestFit="1" customWidth="1"/>
    <col min="18" max="19" width="8.09765625" style="56" customWidth="1"/>
    <col min="20" max="16384" width="8.19921875" style="56"/>
  </cols>
  <sheetData>
    <row r="1" spans="1:8" ht="113.25" customHeight="1" x14ac:dyDescent="0.25"/>
    <row r="2" spans="1:8" x14ac:dyDescent="0.25">
      <c r="A2" s="162" t="s">
        <v>181</v>
      </c>
      <c r="B2" s="163"/>
      <c r="C2" s="163"/>
      <c r="D2" s="163"/>
      <c r="E2" s="163"/>
      <c r="F2" s="164"/>
      <c r="H2" s="58"/>
    </row>
    <row r="3" spans="1:8" ht="13.8" thickBot="1" x14ac:dyDescent="0.3">
      <c r="A3" s="59" t="s">
        <v>39</v>
      </c>
      <c r="B3" s="147" t="s">
        <v>249</v>
      </c>
      <c r="C3" s="147" t="s">
        <v>250</v>
      </c>
      <c r="D3" s="147" t="s">
        <v>251</v>
      </c>
      <c r="E3" s="147" t="s">
        <v>252</v>
      </c>
      <c r="F3" s="60"/>
      <c r="H3" s="58"/>
    </row>
    <row r="4" spans="1:8" x14ac:dyDescent="0.25">
      <c r="A4" s="61" t="s">
        <v>182</v>
      </c>
      <c r="B4" s="62">
        <f>B49/B13</f>
        <v>203297.67860099071</v>
      </c>
      <c r="C4" s="62">
        <f t="shared" ref="C4:E4" si="0">C49/C13</f>
        <v>164000</v>
      </c>
      <c r="D4" s="62">
        <f t="shared" si="0"/>
        <v>141666.66666666666</v>
      </c>
      <c r="E4" s="62">
        <f t="shared" si="0"/>
        <v>184800</v>
      </c>
      <c r="F4" s="63"/>
      <c r="H4" s="58"/>
    </row>
    <row r="5" spans="1:8" x14ac:dyDescent="0.25">
      <c r="A5" s="64"/>
      <c r="B5" s="65" t="s">
        <v>103</v>
      </c>
      <c r="C5" s="65" t="s">
        <v>104</v>
      </c>
      <c r="D5" s="65" t="s">
        <v>105</v>
      </c>
      <c r="E5" s="66" t="s">
        <v>106</v>
      </c>
      <c r="F5" s="67"/>
      <c r="H5" s="58"/>
    </row>
    <row r="6" spans="1:8" x14ac:dyDescent="0.25">
      <c r="A6" s="64" t="s">
        <v>107</v>
      </c>
      <c r="B6" s="48">
        <v>0</v>
      </c>
      <c r="C6" s="48">
        <v>0</v>
      </c>
      <c r="D6" s="48">
        <v>0</v>
      </c>
      <c r="E6" s="49">
        <v>0</v>
      </c>
      <c r="F6" s="68"/>
      <c r="H6" s="58"/>
    </row>
    <row r="7" spans="1:8" x14ac:dyDescent="0.25">
      <c r="A7" s="69" t="s">
        <v>108</v>
      </c>
      <c r="B7" s="50">
        <v>0</v>
      </c>
      <c r="C7" s="50">
        <v>0</v>
      </c>
      <c r="D7" s="50">
        <v>0</v>
      </c>
      <c r="E7" s="51">
        <v>0</v>
      </c>
      <c r="F7" s="68"/>
      <c r="H7" s="58"/>
    </row>
    <row r="8" spans="1:8" x14ac:dyDescent="0.25">
      <c r="A8" s="69" t="s">
        <v>183</v>
      </c>
      <c r="B8" s="50">
        <v>1</v>
      </c>
      <c r="C8" s="50">
        <v>1</v>
      </c>
      <c r="D8" s="50">
        <v>0</v>
      </c>
      <c r="E8" s="51">
        <v>2</v>
      </c>
      <c r="F8" s="68"/>
    </row>
    <row r="9" spans="1:8" x14ac:dyDescent="0.25">
      <c r="A9" s="69" t="s">
        <v>184</v>
      </c>
      <c r="B9" s="50">
        <v>3</v>
      </c>
      <c r="C9" s="50">
        <v>4</v>
      </c>
      <c r="D9" s="50">
        <v>0</v>
      </c>
      <c r="E9" s="51">
        <v>3</v>
      </c>
      <c r="F9" s="68"/>
    </row>
    <row r="10" spans="1:8" x14ac:dyDescent="0.25">
      <c r="A10" s="69" t="s">
        <v>185</v>
      </c>
      <c r="B10" s="50">
        <v>0</v>
      </c>
      <c r="C10" s="50">
        <v>0</v>
      </c>
      <c r="D10" s="50">
        <v>4</v>
      </c>
      <c r="E10" s="51">
        <v>0</v>
      </c>
      <c r="F10" s="68"/>
    </row>
    <row r="11" spans="1:8" x14ac:dyDescent="0.25">
      <c r="A11" s="69" t="s">
        <v>186</v>
      </c>
      <c r="B11" s="50">
        <v>1</v>
      </c>
      <c r="C11" s="50">
        <v>0</v>
      </c>
      <c r="D11" s="50">
        <v>2</v>
      </c>
      <c r="E11" s="51">
        <v>0</v>
      </c>
      <c r="F11" s="68"/>
    </row>
    <row r="12" spans="1:8" x14ac:dyDescent="0.25">
      <c r="A12" s="69" t="s">
        <v>113</v>
      </c>
      <c r="B12" s="50">
        <v>0</v>
      </c>
      <c r="C12" s="50">
        <v>0</v>
      </c>
      <c r="D12" s="50">
        <v>0</v>
      </c>
      <c r="E12" s="51">
        <v>0</v>
      </c>
      <c r="F12" s="68"/>
    </row>
    <row r="13" spans="1:8" ht="13.8" thickBot="1" x14ac:dyDescent="0.3">
      <c r="A13" s="70" t="s">
        <v>187</v>
      </c>
      <c r="B13" s="71">
        <f>SUM(B6:B12)</f>
        <v>5</v>
      </c>
      <c r="C13" s="71">
        <f>SUM(C6:C12)</f>
        <v>5</v>
      </c>
      <c r="D13" s="71">
        <f>SUM(D6:D12)</f>
        <v>6</v>
      </c>
      <c r="E13" s="72">
        <f>SUM(E6:E12)</f>
        <v>5</v>
      </c>
      <c r="F13" s="73"/>
    </row>
    <row r="14" spans="1:8" ht="13.8" thickBot="1" x14ac:dyDescent="0.3"/>
    <row r="15" spans="1:8" ht="14.4" thickBot="1" x14ac:dyDescent="0.3">
      <c r="A15" s="74" t="s">
        <v>188</v>
      </c>
      <c r="B15" s="75"/>
      <c r="C15" s="76"/>
      <c r="D15" s="77"/>
      <c r="E15" s="77"/>
      <c r="F15" s="78"/>
    </row>
    <row r="16" spans="1:8" x14ac:dyDescent="0.25">
      <c r="A16" s="69" t="s">
        <v>189</v>
      </c>
      <c r="B16" s="52">
        <v>56160</v>
      </c>
      <c r="C16" s="52">
        <v>40320</v>
      </c>
      <c r="D16" s="52">
        <v>48540</v>
      </c>
      <c r="E16" s="53">
        <v>52080</v>
      </c>
      <c r="F16" s="79"/>
    </row>
    <row r="17" spans="1:6" x14ac:dyDescent="0.25">
      <c r="A17" s="69" t="s">
        <v>190</v>
      </c>
      <c r="B17" s="52">
        <v>0</v>
      </c>
      <c r="C17" s="52">
        <v>0</v>
      </c>
      <c r="D17" s="52">
        <v>0</v>
      </c>
      <c r="E17" s="53">
        <v>0</v>
      </c>
      <c r="F17" s="80"/>
    </row>
    <row r="18" spans="1:6" x14ac:dyDescent="0.25">
      <c r="A18" s="69" t="s">
        <v>118</v>
      </c>
      <c r="B18" s="52">
        <v>0</v>
      </c>
      <c r="C18" s="52">
        <v>1680</v>
      </c>
      <c r="D18" s="52">
        <v>0</v>
      </c>
      <c r="E18" s="53">
        <v>0</v>
      </c>
      <c r="F18" s="80"/>
    </row>
    <row r="19" spans="1:6" x14ac:dyDescent="0.25">
      <c r="A19" s="69" t="s">
        <v>191</v>
      </c>
      <c r="B19" s="52">
        <v>0</v>
      </c>
      <c r="C19" s="52">
        <v>0</v>
      </c>
      <c r="D19" s="52">
        <v>0</v>
      </c>
      <c r="E19" s="53">
        <v>0</v>
      </c>
      <c r="F19" s="80"/>
    </row>
    <row r="20" spans="1:6" x14ac:dyDescent="0.25">
      <c r="A20" s="81" t="s">
        <v>192</v>
      </c>
      <c r="B20" s="82">
        <f>SUM(B16:B19)</f>
        <v>56160</v>
      </c>
      <c r="C20" s="82">
        <f t="shared" ref="C20:E20" si="1">SUM(C16:C19)</f>
        <v>42000</v>
      </c>
      <c r="D20" s="82">
        <f t="shared" si="1"/>
        <v>48540</v>
      </c>
      <c r="E20" s="83">
        <f t="shared" si="1"/>
        <v>52080</v>
      </c>
      <c r="F20" s="84"/>
    </row>
    <row r="21" spans="1:6" x14ac:dyDescent="0.25">
      <c r="A21" s="69" t="s">
        <v>193</v>
      </c>
      <c r="B21" s="85">
        <f>-B20*$F21</f>
        <v>-1965.6000000000001</v>
      </c>
      <c r="C21" s="85">
        <f t="shared" ref="C21:E21" si="2">-C20*$F21</f>
        <v>-1470.0000000000002</v>
      </c>
      <c r="D21" s="85">
        <f t="shared" si="2"/>
        <v>-1698.9</v>
      </c>
      <c r="E21" s="86">
        <f t="shared" si="2"/>
        <v>-1822.8000000000002</v>
      </c>
      <c r="F21" s="87">
        <v>3.5000000000000003E-2</v>
      </c>
    </row>
    <row r="22" spans="1:6" ht="13.8" thickBot="1" x14ac:dyDescent="0.3">
      <c r="A22" s="88" t="s">
        <v>194</v>
      </c>
      <c r="B22" s="89">
        <f>SUM(B20:B21)</f>
        <v>54194.400000000001</v>
      </c>
      <c r="C22" s="89">
        <f t="shared" ref="C22:E22" si="3">SUM(C20:C21)</f>
        <v>40530</v>
      </c>
      <c r="D22" s="89">
        <f t="shared" si="3"/>
        <v>46841.1</v>
      </c>
      <c r="E22" s="90">
        <f t="shared" si="3"/>
        <v>50257.2</v>
      </c>
      <c r="F22" s="91"/>
    </row>
    <row r="23" spans="1:6" ht="13.8" thickBot="1" x14ac:dyDescent="0.3">
      <c r="A23" s="92"/>
      <c r="B23" s="93"/>
      <c r="C23" s="94"/>
      <c r="D23" s="94"/>
      <c r="E23" s="94"/>
      <c r="F23" s="94"/>
    </row>
    <row r="24" spans="1:6" ht="13.8" x14ac:dyDescent="0.25">
      <c r="A24" s="74" t="s">
        <v>195</v>
      </c>
      <c r="B24" s="95"/>
      <c r="C24" s="96"/>
      <c r="D24" s="97"/>
      <c r="E24" s="98"/>
      <c r="F24" s="99"/>
    </row>
    <row r="25" spans="1:6" x14ac:dyDescent="0.25">
      <c r="A25" s="69" t="s">
        <v>196</v>
      </c>
      <c r="B25" s="54">
        <v>7131</v>
      </c>
      <c r="C25" s="54">
        <v>4666</v>
      </c>
      <c r="D25" s="54">
        <v>1017</v>
      </c>
      <c r="E25" s="55">
        <v>7222</v>
      </c>
      <c r="F25" s="80"/>
    </row>
    <row r="26" spans="1:6" x14ac:dyDescent="0.25">
      <c r="A26" s="69" t="s">
        <v>197</v>
      </c>
      <c r="B26" s="54">
        <v>819.92</v>
      </c>
      <c r="C26" s="54">
        <v>564</v>
      </c>
      <c r="D26" s="54">
        <v>419</v>
      </c>
      <c r="E26" s="55">
        <v>900</v>
      </c>
      <c r="F26" s="80"/>
    </row>
    <row r="27" spans="1:6" x14ac:dyDescent="0.25">
      <c r="A27" s="69" t="s">
        <v>198</v>
      </c>
      <c r="B27" s="54">
        <v>0</v>
      </c>
      <c r="C27" s="54">
        <v>0</v>
      </c>
      <c r="D27" s="54">
        <v>0</v>
      </c>
      <c r="E27" s="55">
        <v>0</v>
      </c>
      <c r="F27" s="80"/>
    </row>
    <row r="28" spans="1:6" x14ac:dyDescent="0.25">
      <c r="A28" s="69" t="s">
        <v>199</v>
      </c>
      <c r="B28" s="54">
        <v>0</v>
      </c>
      <c r="C28" s="54">
        <v>0</v>
      </c>
      <c r="D28" s="54">
        <v>0</v>
      </c>
      <c r="E28" s="55">
        <v>0</v>
      </c>
      <c r="F28" s="80"/>
    </row>
    <row r="29" spans="1:6" x14ac:dyDescent="0.25">
      <c r="A29" s="64" t="s">
        <v>200</v>
      </c>
      <c r="B29" s="54">
        <v>0</v>
      </c>
      <c r="C29" s="54">
        <v>0</v>
      </c>
      <c r="D29" s="54">
        <v>0</v>
      </c>
      <c r="E29" s="55">
        <v>0</v>
      </c>
      <c r="F29" s="100"/>
    </row>
    <row r="30" spans="1:6" x14ac:dyDescent="0.25">
      <c r="A30" s="64" t="s">
        <v>201</v>
      </c>
      <c r="B30" s="54">
        <v>0</v>
      </c>
      <c r="C30" s="54">
        <v>0</v>
      </c>
      <c r="D30" s="54">
        <v>0</v>
      </c>
      <c r="E30" s="55">
        <v>0</v>
      </c>
      <c r="F30" s="80"/>
    </row>
    <row r="31" spans="1:6" x14ac:dyDescent="0.25">
      <c r="A31" s="64" t="s">
        <v>202</v>
      </c>
      <c r="B31" s="52">
        <f t="shared" ref="B31:E31" si="4">$F31*B13</f>
        <v>3000</v>
      </c>
      <c r="C31" s="52">
        <f t="shared" si="4"/>
        <v>3000</v>
      </c>
      <c r="D31" s="52">
        <f t="shared" si="4"/>
        <v>3600</v>
      </c>
      <c r="E31" s="53">
        <f t="shared" si="4"/>
        <v>3000</v>
      </c>
      <c r="F31" s="80">
        <v>600</v>
      </c>
    </row>
    <row r="32" spans="1:6" x14ac:dyDescent="0.25">
      <c r="A32" s="64" t="s">
        <v>203</v>
      </c>
      <c r="B32" s="85">
        <f>$F32*B13</f>
        <v>1650</v>
      </c>
      <c r="C32" s="85">
        <f>$F32*C13</f>
        <v>1650</v>
      </c>
      <c r="D32" s="85">
        <f t="shared" ref="D32:E32" si="5">$F32*D13</f>
        <v>1980</v>
      </c>
      <c r="E32" s="86">
        <f t="shared" si="5"/>
        <v>1650</v>
      </c>
      <c r="F32" s="80">
        <v>330</v>
      </c>
    </row>
    <row r="33" spans="1:10" x14ac:dyDescent="0.25">
      <c r="A33" s="64" t="s">
        <v>204</v>
      </c>
      <c r="B33" s="54">
        <v>0</v>
      </c>
      <c r="C33" s="54">
        <v>0</v>
      </c>
      <c r="D33" s="54">
        <v>0</v>
      </c>
      <c r="E33" s="55">
        <v>0</v>
      </c>
      <c r="F33" s="100"/>
    </row>
    <row r="34" spans="1:10" x14ac:dyDescent="0.25">
      <c r="A34" s="64" t="s">
        <v>205</v>
      </c>
      <c r="B34" s="85">
        <f>B13*$F34</f>
        <v>2750</v>
      </c>
      <c r="C34" s="85">
        <f t="shared" ref="C34:E34" si="6">C13*$F34</f>
        <v>2750</v>
      </c>
      <c r="D34" s="85">
        <f t="shared" si="6"/>
        <v>3300</v>
      </c>
      <c r="E34" s="86">
        <f t="shared" si="6"/>
        <v>2750</v>
      </c>
      <c r="F34" s="80">
        <v>550</v>
      </c>
    </row>
    <row r="35" spans="1:10" x14ac:dyDescent="0.25">
      <c r="A35" s="64" t="s">
        <v>206</v>
      </c>
      <c r="B35" s="54">
        <v>0</v>
      </c>
      <c r="C35" s="54">
        <v>0</v>
      </c>
      <c r="D35" s="54">
        <v>0</v>
      </c>
      <c r="E35" s="55">
        <v>0</v>
      </c>
      <c r="F35" s="100"/>
    </row>
    <row r="36" spans="1:10" x14ac:dyDescent="0.25">
      <c r="A36" s="64" t="s">
        <v>207</v>
      </c>
      <c r="B36" s="85">
        <f>B20*$F36</f>
        <v>2808</v>
      </c>
      <c r="C36" s="85">
        <f t="shared" ref="C36:E36" si="7">C20*$F36</f>
        <v>2100</v>
      </c>
      <c r="D36" s="85">
        <f t="shared" si="7"/>
        <v>2427</v>
      </c>
      <c r="E36" s="86">
        <f t="shared" si="7"/>
        <v>2604</v>
      </c>
      <c r="F36" s="101">
        <v>0.05</v>
      </c>
    </row>
    <row r="37" spans="1:10" x14ac:dyDescent="0.25">
      <c r="A37" s="64" t="s">
        <v>136</v>
      </c>
      <c r="B37" s="54">
        <v>0</v>
      </c>
      <c r="C37" s="54">
        <v>0</v>
      </c>
      <c r="D37" s="54">
        <v>0</v>
      </c>
      <c r="E37" s="55">
        <v>0</v>
      </c>
      <c r="F37" s="80"/>
    </row>
    <row r="38" spans="1:10" x14ac:dyDescent="0.25">
      <c r="A38" s="64" t="s">
        <v>208</v>
      </c>
      <c r="B38" s="54">
        <v>0</v>
      </c>
      <c r="C38" s="54">
        <v>0</v>
      </c>
      <c r="D38" s="54">
        <v>0</v>
      </c>
      <c r="E38" s="55">
        <v>0</v>
      </c>
      <c r="F38" s="80"/>
    </row>
    <row r="39" spans="1:10" x14ac:dyDescent="0.25">
      <c r="A39" s="64" t="s">
        <v>209</v>
      </c>
      <c r="B39" s="54">
        <v>0</v>
      </c>
      <c r="C39" s="54">
        <v>0</v>
      </c>
      <c r="D39" s="54">
        <v>0</v>
      </c>
      <c r="E39" s="55">
        <v>0</v>
      </c>
      <c r="F39" s="80"/>
    </row>
    <row r="40" spans="1:10" x14ac:dyDescent="0.25">
      <c r="A40" s="64" t="s">
        <v>210</v>
      </c>
      <c r="B40" s="54">
        <v>0</v>
      </c>
      <c r="C40" s="54">
        <v>0</v>
      </c>
      <c r="D40" s="54">
        <v>0</v>
      </c>
      <c r="E40" s="55">
        <v>0</v>
      </c>
      <c r="F40" s="80">
        <v>150</v>
      </c>
    </row>
    <row r="41" spans="1:10" x14ac:dyDescent="0.25">
      <c r="A41" s="64" t="s">
        <v>140</v>
      </c>
      <c r="B41" s="54">
        <v>0</v>
      </c>
      <c r="C41" s="54">
        <v>0</v>
      </c>
      <c r="D41" s="54">
        <v>0</v>
      </c>
      <c r="E41" s="55">
        <v>0</v>
      </c>
      <c r="F41" s="100"/>
    </row>
    <row r="42" spans="1:10" x14ac:dyDescent="0.25">
      <c r="A42" s="64" t="s">
        <v>211</v>
      </c>
      <c r="B42" s="54">
        <v>0</v>
      </c>
      <c r="C42" s="54">
        <v>0</v>
      </c>
      <c r="D42" s="54">
        <v>0</v>
      </c>
      <c r="E42" s="55">
        <v>0</v>
      </c>
      <c r="F42" s="100"/>
    </row>
    <row r="43" spans="1:10" x14ac:dyDescent="0.25">
      <c r="A43" s="64" t="s">
        <v>212</v>
      </c>
      <c r="B43" s="54">
        <v>0</v>
      </c>
      <c r="C43" s="54">
        <v>0</v>
      </c>
      <c r="D43" s="54">
        <v>0</v>
      </c>
      <c r="E43" s="55">
        <v>0</v>
      </c>
      <c r="F43" s="100"/>
    </row>
    <row r="44" spans="1:10" ht="13.8" thickBot="1" x14ac:dyDescent="0.3">
      <c r="A44" s="88" t="s">
        <v>213</v>
      </c>
      <c r="B44" s="89">
        <f>SUM(B25:B43)</f>
        <v>18158.919999999998</v>
      </c>
      <c r="C44" s="89">
        <f>SUM(C25:C43)</f>
        <v>14730</v>
      </c>
      <c r="D44" s="89">
        <f>SUM(D25:D43)</f>
        <v>12743</v>
      </c>
      <c r="E44" s="90">
        <f>SUM(E25:E43)</f>
        <v>18126</v>
      </c>
      <c r="F44" s="73"/>
    </row>
    <row r="45" spans="1:10" ht="13.8" thickBot="1" x14ac:dyDescent="0.3">
      <c r="A45" s="102"/>
      <c r="B45" s="103"/>
      <c r="C45" s="104"/>
      <c r="D45" s="105"/>
      <c r="H45" s="56"/>
    </row>
    <row r="46" spans="1:10" ht="15.75" customHeight="1" thickBot="1" x14ac:dyDescent="0.3">
      <c r="A46" s="74" t="s">
        <v>214</v>
      </c>
      <c r="B46" s="106"/>
      <c r="C46" s="106"/>
      <c r="D46" s="106"/>
      <c r="E46" s="107"/>
      <c r="F46" s="107"/>
      <c r="H46" s="165" t="s">
        <v>145</v>
      </c>
      <c r="I46" s="166"/>
      <c r="J46" s="167"/>
    </row>
    <row r="47" spans="1:10" x14ac:dyDescent="0.25">
      <c r="A47" s="108" t="s">
        <v>215</v>
      </c>
      <c r="B47" s="109">
        <f>B22-B44</f>
        <v>36035.480000000003</v>
      </c>
      <c r="C47" s="110">
        <f t="shared" ref="C47:E47" si="8">C22-C44</f>
        <v>25800</v>
      </c>
      <c r="D47" s="110">
        <f t="shared" si="8"/>
        <v>34098.1</v>
      </c>
      <c r="E47" s="110">
        <f t="shared" si="8"/>
        <v>32131.199999999997</v>
      </c>
      <c r="F47" s="111"/>
      <c r="G47" s="112"/>
      <c r="H47" s="113">
        <f>IF(C13&gt;6,1.3,1.1)</f>
        <v>1.1000000000000001</v>
      </c>
      <c r="I47" s="114" t="s">
        <v>216</v>
      </c>
      <c r="J47" s="115"/>
    </row>
    <row r="48" spans="1:10" x14ac:dyDescent="0.25">
      <c r="A48" s="108" t="s">
        <v>217</v>
      </c>
      <c r="B48" s="116">
        <f>AVERAGE(C48:E48)</f>
        <v>3.5450950790959397E-2</v>
      </c>
      <c r="C48" s="117">
        <f t="shared" ref="C48:E48" si="9">C47/C49</f>
        <v>3.1463414634146342E-2</v>
      </c>
      <c r="D48" s="117">
        <f t="shared" si="9"/>
        <v>4.0115411764705879E-2</v>
      </c>
      <c r="E48" s="117">
        <f t="shared" si="9"/>
        <v>3.4774025974025971E-2</v>
      </c>
      <c r="F48" s="100"/>
      <c r="H48" s="118">
        <f>IF(B4&lt;1090,1.1,1.3)</f>
        <v>1.3</v>
      </c>
      <c r="I48" s="119" t="s">
        <v>218</v>
      </c>
      <c r="J48" s="120"/>
    </row>
    <row r="49" spans="1:10" ht="15.6" x14ac:dyDescent="0.3">
      <c r="A49" s="121" t="s">
        <v>258</v>
      </c>
      <c r="B49" s="122">
        <f>B47/B48</f>
        <v>1016488.3930049535</v>
      </c>
      <c r="C49" s="148">
        <v>820000</v>
      </c>
      <c r="D49" s="148">
        <v>850000</v>
      </c>
      <c r="E49" s="148">
        <v>924000</v>
      </c>
      <c r="F49" s="100"/>
      <c r="H49" s="118">
        <f>IF(AND(D16=1.3,H47=1.3),1.3,1.1)</f>
        <v>1.1000000000000001</v>
      </c>
      <c r="I49" s="119" t="s">
        <v>219</v>
      </c>
      <c r="J49" s="120"/>
    </row>
    <row r="50" spans="1:10" x14ac:dyDescent="0.25">
      <c r="A50" s="108" t="s">
        <v>217</v>
      </c>
      <c r="B50" s="101">
        <f>B47/B51</f>
        <v>6.3067959069819671E-2</v>
      </c>
      <c r="H50" s="118"/>
      <c r="I50" s="119"/>
      <c r="J50" s="120"/>
    </row>
    <row r="51" spans="1:10" ht="15.6" x14ac:dyDescent="0.3">
      <c r="A51" s="121" t="s">
        <v>220</v>
      </c>
      <c r="B51" s="123">
        <f>I63/(1-B54)</f>
        <v>571375.39459786168</v>
      </c>
      <c r="H51" s="118"/>
      <c r="I51" s="119" t="s">
        <v>221</v>
      </c>
      <c r="J51" s="120"/>
    </row>
    <row r="52" spans="1:10" x14ac:dyDescent="0.25">
      <c r="A52" s="108" t="s">
        <v>222</v>
      </c>
      <c r="B52" s="124">
        <f>IF(H49=H48,1.1,H47)</f>
        <v>1.1000000000000001</v>
      </c>
      <c r="H52" s="125">
        <v>2.5000000000000001E-2</v>
      </c>
      <c r="I52" s="119" t="s">
        <v>223</v>
      </c>
      <c r="J52" s="120"/>
    </row>
    <row r="53" spans="1:10" x14ac:dyDescent="0.25">
      <c r="A53" s="108" t="s">
        <v>224</v>
      </c>
      <c r="B53" s="126">
        <f>IF($H48=1.1,45,30)</f>
        <v>30</v>
      </c>
      <c r="H53" s="125">
        <v>3.5000000000000003E-2</v>
      </c>
      <c r="I53" s="119" t="s">
        <v>225</v>
      </c>
      <c r="J53" s="120"/>
    </row>
    <row r="54" spans="1:10" x14ac:dyDescent="0.25">
      <c r="A54" s="108" t="s">
        <v>226</v>
      </c>
      <c r="B54" s="127">
        <f>IF($H48=1.1,5%,15%)</f>
        <v>0.15</v>
      </c>
      <c r="H54" s="125">
        <v>4.4999999999999998E-2</v>
      </c>
      <c r="I54" s="119" t="s">
        <v>227</v>
      </c>
      <c r="J54" s="120"/>
    </row>
    <row r="55" spans="1:10" x14ac:dyDescent="0.25">
      <c r="A55" s="108" t="s">
        <v>228</v>
      </c>
      <c r="B55" s="149">
        <v>5.45E-2</v>
      </c>
      <c r="H55" s="125">
        <v>0.02</v>
      </c>
      <c r="I55" s="119" t="s">
        <v>229</v>
      </c>
      <c r="J55" s="120"/>
    </row>
    <row r="56" spans="1:10" x14ac:dyDescent="0.25">
      <c r="A56" s="108" t="s">
        <v>221</v>
      </c>
      <c r="B56" s="128">
        <f>IF(B54=5%,$H55,IF(B54=15%,$H54,IF(B54=20%,$H53,IF(B54=25%,$H52,0%))))</f>
        <v>4.4999999999999998E-2</v>
      </c>
      <c r="H56" s="118"/>
      <c r="I56" s="129"/>
      <c r="J56" s="120"/>
    </row>
    <row r="57" spans="1:10" x14ac:dyDescent="0.25">
      <c r="A57" s="121" t="s">
        <v>230</v>
      </c>
      <c r="B57" s="130">
        <f>B49-$I63</f>
        <v>530819.30759677105</v>
      </c>
      <c r="H57" s="131">
        <f t="shared" ref="H57:H62" si="10">IF(I57&gt;0,I57,0)</f>
        <v>264</v>
      </c>
      <c r="I57" s="132">
        <f>IF(($B$49&gt;52800),((52800-0)*(0.005)),(($B$49-0)*(0.005)))</f>
        <v>264</v>
      </c>
      <c r="J57" s="120" t="s">
        <v>231</v>
      </c>
    </row>
    <row r="58" spans="1:10" x14ac:dyDescent="0.25">
      <c r="A58" s="108" t="s">
        <v>232</v>
      </c>
      <c r="B58" s="133">
        <f>SUM(H57:H62)</f>
        <v>7204.0078919572334</v>
      </c>
      <c r="H58" s="131">
        <f t="shared" si="10"/>
        <v>2112</v>
      </c>
      <c r="I58" s="132">
        <f>IF(($B$49&gt;264000),((264000-52800)*(0.01)),(($B$49-52800)*(0.01)))</f>
        <v>2112</v>
      </c>
      <c r="J58" s="120" t="s">
        <v>233</v>
      </c>
    </row>
    <row r="59" spans="1:10" x14ac:dyDescent="0.25">
      <c r="A59" s="108" t="s">
        <v>234</v>
      </c>
      <c r="B59" s="134">
        <f>150*(SUM(B13))</f>
        <v>750</v>
      </c>
      <c r="H59" s="131">
        <f t="shared" si="10"/>
        <v>3958.5</v>
      </c>
      <c r="I59" s="132">
        <f>IF((B51&gt;527900),((527900-264000)*(0.015)),((B51-264000)*(0.015)))</f>
        <v>3958.5</v>
      </c>
      <c r="J59" s="120" t="s">
        <v>235</v>
      </c>
    </row>
    <row r="60" spans="1:10" x14ac:dyDescent="0.25">
      <c r="A60" s="108" t="s">
        <v>236</v>
      </c>
      <c r="B60" s="134">
        <v>2000</v>
      </c>
      <c r="H60" s="131">
        <f t="shared" si="10"/>
        <v>869.50789195723371</v>
      </c>
      <c r="I60" s="132">
        <f>IF((B51&gt;1055800),((1055800-527900)*(0.02)),((B51-527900)*(0.02)))</f>
        <v>869.50789195723371</v>
      </c>
      <c r="J60" s="120" t="s">
        <v>237</v>
      </c>
    </row>
    <row r="61" spans="1:10" x14ac:dyDescent="0.25">
      <c r="A61" s="108" t="s">
        <v>238</v>
      </c>
      <c r="B61" s="134">
        <v>2500</v>
      </c>
      <c r="H61" s="131">
        <f t="shared" si="10"/>
        <v>0</v>
      </c>
      <c r="I61" s="132">
        <f>((B51-1055800)*(0.025))</f>
        <v>-12110.615135053458</v>
      </c>
      <c r="J61" s="120" t="s">
        <v>239</v>
      </c>
    </row>
    <row r="62" spans="1:10" x14ac:dyDescent="0.25">
      <c r="A62" s="108" t="s">
        <v>240</v>
      </c>
      <c r="B62" s="134">
        <v>4200</v>
      </c>
      <c r="H62" s="131">
        <f t="shared" si="10"/>
        <v>0</v>
      </c>
      <c r="I62" s="135">
        <f>-B47/B52</f>
        <v>-32759.527272727271</v>
      </c>
      <c r="J62" s="120" t="s">
        <v>241</v>
      </c>
    </row>
    <row r="63" spans="1:10" ht="15.6" x14ac:dyDescent="0.3">
      <c r="A63" s="121" t="s">
        <v>242</v>
      </c>
      <c r="B63" s="136">
        <f>SUM(B57:B62)</f>
        <v>547473.31548872823</v>
      </c>
      <c r="H63" s="118"/>
      <c r="I63" s="135">
        <f>PV(B55/12,B53*12,I62/12,0,1)</f>
        <v>485669.08540818241</v>
      </c>
      <c r="J63" s="137" t="s">
        <v>243</v>
      </c>
    </row>
    <row r="64" spans="1:10" ht="15.6" x14ac:dyDescent="0.3">
      <c r="A64" s="121" t="s">
        <v>244</v>
      </c>
      <c r="B64" s="138">
        <f>B63/B49</f>
        <v>0.53859278596411897</v>
      </c>
      <c r="H64" s="139"/>
      <c r="I64" s="140">
        <f>B49*(1-B54)</f>
        <v>864015.1340542105</v>
      </c>
      <c r="J64" s="141" t="s">
        <v>245</v>
      </c>
    </row>
    <row r="65" spans="1:2" x14ac:dyDescent="0.25">
      <c r="A65" s="108" t="s">
        <v>246</v>
      </c>
      <c r="B65" s="142">
        <f>IF(I64&lt;I63,I64,I63)</f>
        <v>485669.08540818241</v>
      </c>
    </row>
    <row r="66" spans="1:2" x14ac:dyDescent="0.25">
      <c r="A66" s="108" t="s">
        <v>247</v>
      </c>
      <c r="B66" s="142">
        <f>IF(I64&lt;I63,I64,I63)*(1+B56)</f>
        <v>507524.19425155059</v>
      </c>
    </row>
    <row r="67" spans="1:2" ht="13.8" thickBot="1" x14ac:dyDescent="0.3">
      <c r="A67" s="143" t="s">
        <v>248</v>
      </c>
      <c r="B67" s="144">
        <f>PMT(B55/12,B53*12,B66,0,1)*12</f>
        <v>-34233.706000000064</v>
      </c>
    </row>
  </sheetData>
  <mergeCells count="2">
    <mergeCell ref="A2:F2"/>
    <mergeCell ref="H46:J46"/>
  </mergeCells>
  <pageMargins left="0.25" right="0.25" top="0.75" bottom="0.75" header="0.3" footer="0.3"/>
  <pageSetup scale="50" fitToHeight="0" orientation="landscape" r:id="rId1"/>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8A27-8D87-44C2-B075-0A8B6DA7FC49}">
  <sheetPr>
    <tabColor rgb="FF92D050"/>
  </sheetPr>
  <dimension ref="A7:B22"/>
  <sheetViews>
    <sheetView showGridLines="0" zoomScaleNormal="100" workbookViewId="0">
      <selection activeCell="D16" sqref="D16"/>
    </sheetView>
  </sheetViews>
  <sheetFormatPr defaultColWidth="8.796875" defaultRowHeight="15.6" x14ac:dyDescent="0.3"/>
  <cols>
    <col min="1" max="1" width="32.69921875" style="2" bestFit="1" customWidth="1"/>
    <col min="2" max="2" width="12.19921875" style="2" bestFit="1" customWidth="1"/>
    <col min="3" max="16384" width="8.796875" style="2"/>
  </cols>
  <sheetData>
    <row r="7" spans="1:2" ht="16.2" thickBot="1" x14ac:dyDescent="0.35"/>
    <row r="8" spans="1:2" s="3" customFormat="1" ht="62.25" customHeight="1" thickBot="1" x14ac:dyDescent="0.35">
      <c r="A8" s="168" t="s">
        <v>0</v>
      </c>
      <c r="B8" s="169"/>
    </row>
    <row r="9" spans="1:2" ht="49.95" customHeight="1" thickBot="1" x14ac:dyDescent="0.35">
      <c r="A9" s="4"/>
      <c r="B9" s="4"/>
    </row>
    <row r="10" spans="1:2" ht="16.2" thickBot="1" x14ac:dyDescent="0.35">
      <c r="A10" s="5" t="s">
        <v>1</v>
      </c>
      <c r="B10" s="33">
        <f>'Analyser (En)'!B49</f>
        <v>820222.89806724933</v>
      </c>
    </row>
    <row r="11" spans="1:2" x14ac:dyDescent="0.3">
      <c r="A11" s="6" t="s">
        <v>2</v>
      </c>
      <c r="B11" s="29">
        <v>500</v>
      </c>
    </row>
    <row r="12" spans="1:2" x14ac:dyDescent="0.3">
      <c r="A12" s="6" t="s">
        <v>3</v>
      </c>
      <c r="B12" s="30">
        <v>227000</v>
      </c>
    </row>
    <row r="13" spans="1:2" x14ac:dyDescent="0.3">
      <c r="A13" s="6" t="s">
        <v>4</v>
      </c>
      <c r="B13" s="30">
        <v>0</v>
      </c>
    </row>
    <row r="14" spans="1:2" x14ac:dyDescent="0.3">
      <c r="A14" s="6" t="s">
        <v>5</v>
      </c>
      <c r="B14" s="31">
        <v>0.06</v>
      </c>
    </row>
    <row r="15" spans="1:2" x14ac:dyDescent="0.3">
      <c r="A15" s="6" t="s">
        <v>6</v>
      </c>
      <c r="B15" s="7">
        <f>B14*B10</f>
        <v>49213.373884034962</v>
      </c>
    </row>
    <row r="16" spans="1:2" x14ac:dyDescent="0.3">
      <c r="A16" s="6" t="s">
        <v>7</v>
      </c>
      <c r="B16" s="7">
        <f>B15*0.05</f>
        <v>2460.6686942017482</v>
      </c>
    </row>
    <row r="17" spans="1:2" x14ac:dyDescent="0.3">
      <c r="A17" s="6" t="s">
        <v>8</v>
      </c>
      <c r="B17" s="7">
        <f>B13*0.09975</f>
        <v>0</v>
      </c>
    </row>
    <row r="18" spans="1:2" x14ac:dyDescent="0.3">
      <c r="A18" s="8" t="s">
        <v>9</v>
      </c>
      <c r="B18" s="32">
        <v>1200</v>
      </c>
    </row>
    <row r="19" spans="1:2" x14ac:dyDescent="0.3">
      <c r="A19" s="150"/>
      <c r="B19" s="7"/>
    </row>
    <row r="20" spans="1:2" ht="16.2" thickBot="1" x14ac:dyDescent="0.35">
      <c r="A20" s="151"/>
      <c r="B20" s="32"/>
    </row>
    <row r="21" spans="1:2" ht="16.2" thickBot="1" x14ac:dyDescent="0.35">
      <c r="A21" s="9" t="s">
        <v>10</v>
      </c>
      <c r="B21" s="13">
        <f>B10-SUM(B11:B20)</f>
        <v>539848.79548901261</v>
      </c>
    </row>
    <row r="22" spans="1:2" x14ac:dyDescent="0.3">
      <c r="B22" s="10"/>
    </row>
  </sheetData>
  <mergeCells count="1">
    <mergeCell ref="A8:B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2</vt:i4>
      </vt:variant>
      <vt:variant>
        <vt:lpstr>Named Ranges</vt:lpstr>
      </vt:variant>
      <vt:variant>
        <vt:i4>2</vt:i4>
      </vt:variant>
    </vt:vector>
  </HeadingPairs>
  <TitlesOfParts>
    <vt:vector size="15" baseType="lpstr">
      <vt:lpstr>EN - 1- Referrals</vt:lpstr>
      <vt:lpstr>FR - 1- Références</vt:lpstr>
      <vt:lpstr>EN - 2 - Your Plan of Action</vt:lpstr>
      <vt:lpstr>FR - 2 - Votre plan d'action</vt:lpstr>
      <vt:lpstr>EN-3-Track Record</vt:lpstr>
      <vt:lpstr>FR-3-Historique</vt:lpstr>
      <vt:lpstr>Analyser (En)</vt:lpstr>
      <vt:lpstr>Analyser (FR)</vt:lpstr>
      <vt:lpstr>EN-5-Net Sheet</vt:lpstr>
      <vt:lpstr>FR-5-Feuille Net</vt:lpstr>
      <vt:lpstr>Data</vt:lpstr>
      <vt:lpstr>FR-4b-Chart</vt:lpstr>
      <vt:lpstr>EN-4b-Chart</vt:lpstr>
      <vt:lpstr>'Analyser (En)'!Print_Area</vt:lpstr>
      <vt:lpstr>'Analyser (FR)'!Print_Area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Bonne Journee</cp:lastModifiedBy>
  <cp:lastPrinted>2023-03-31T14:54:23Z</cp:lastPrinted>
  <dcterms:created xsi:type="dcterms:W3CDTF">2016-11-30T15:46:21Z</dcterms:created>
  <dcterms:modified xsi:type="dcterms:W3CDTF">2024-04-24T12:38:26Z</dcterms:modified>
</cp:coreProperties>
</file>